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dados\Secretarias\SML\PREGAO ELETRONICO\2025 - PREGÃO ELETRÔNICO - LEI 14.133-2021\2025\EDITAL 292-2025 - ROÇAGEM, CAPINA, VARRIÇÃO, PINTURA DE VIAS PÚBLICAS\EDITAL\"/>
    </mc:Choice>
  </mc:AlternateContent>
  <bookViews>
    <workbookView xWindow="0" yWindow="0" windowWidth="16380" windowHeight="8196" tabRatio="500" activeTab="8"/>
  </bookViews>
  <sheets>
    <sheet name="0. Qtdades e Custos" sheetId="1" r:id="rId1"/>
    <sheet name="1. Capina e Roçada" sheetId="2" r:id="rId2"/>
    <sheet name="2. Varrição Manual" sheetId="3" r:id="rId3"/>
    <sheet name="3. Varrição Mecanizada" sheetId="4" r:id="rId4"/>
    <sheet name="4. Pintura Meio-Fios" sheetId="5" r:id="rId5"/>
    <sheet name="5. Equipe Técnica" sheetId="6" r:id="rId6"/>
    <sheet name="6. Encargos Sociais" sheetId="7" r:id="rId7"/>
    <sheet name="7.CAGED" sheetId="8" r:id="rId8"/>
    <sheet name="8. BDI" sheetId="9" r:id="rId9"/>
    <sheet name="9. Depreciação" sheetId="10" r:id="rId10"/>
    <sheet name="10. Remuneração de capital" sheetId="11" r:id="rId11"/>
  </sheets>
  <definedNames>
    <definedName name="AbaDeprec">'9. Depreciação'!$A$1</definedName>
    <definedName name="AbaRemun">'10. Remuneração de capital'!$A$1</definedName>
    <definedName name="Google_Sheet_Link_1042153561_717510486">print_titles_0_0_0_0_0</definedName>
    <definedName name="Google_Sheet_Link_1050453953_486749058">print_titles_0_0_0_0_0</definedName>
    <definedName name="Google_Sheet_Link_105190640">AbaDeprec</definedName>
    <definedName name="Google_Sheet_Link_1087969283">AbaDeprec</definedName>
    <definedName name="Google_Sheet_Link_1128194504_1262095295">print_titles_0_0_0_0_0_0</definedName>
    <definedName name="Google_Sheet_Link_1135249405_2071846243">print_titles_0_0</definedName>
    <definedName name="Google_Sheet_Link_1163500045_277266387">print_titles_0_0_0_0</definedName>
    <definedName name="Google_Sheet_Link_1220612232_277266387">print_titles_0_0_0_0_0_0</definedName>
    <definedName name="Google_Sheet_Link_1245280742_2071846243">print_titles_0_0_0_0_0_0</definedName>
    <definedName name="Google_Sheet_Link_1307130700_717510486">print_titles_0_0_0_0</definedName>
    <definedName name="Google_Sheet_Link_1316656248_277266387">print_titles_0_0</definedName>
    <definedName name="Google_Sheet_Link_1320815511_486749058">print_titles_0_0_0_0_0_0</definedName>
    <definedName name="Google_Sheet_Link_1385402849">AbaRemun</definedName>
    <definedName name="Google_Sheet_Link_138612331_486749058">print_titles_0_0_0</definedName>
    <definedName name="Google_Sheet_Link_1395446409">AbaDeprec</definedName>
    <definedName name="Google_Sheet_Link_1418664634">AbaRemun</definedName>
    <definedName name="Google_Sheet_Link_1422765692_717510486">print_titles_0_0_0</definedName>
    <definedName name="Google_Sheet_Link_1426506448">AbaRemun</definedName>
    <definedName name="Google_Sheet_Link_1431348254">AbaDeprec</definedName>
    <definedName name="Google_Sheet_Link_1438385033_486749058">print_titles_0</definedName>
    <definedName name="Google_Sheet_Link_1453905426_1262095295">print_titles_0</definedName>
    <definedName name="Google_Sheet_Link_1548889284_274185757">print_titles_0_0</definedName>
    <definedName name="Google_Sheet_Link_1573280766_274185757">print_titles_0_0_0_0</definedName>
    <definedName name="Google_Sheet_Link_1601518685_274185757">print_titles_0</definedName>
    <definedName name="Google_Sheet_Link_1604018570">AbaRemun</definedName>
    <definedName name="Google_Sheet_Link_1616338293">AbaDeprec</definedName>
    <definedName name="Google_Sheet_Link_1662217783_486749058">print_titles_0_0_0_0</definedName>
    <definedName name="Google_Sheet_Link_1685681044_1262095295">print_titles_0_0_0_0</definedName>
    <definedName name="Google_Sheet_Link_1701136735">AbaDeprec</definedName>
    <definedName name="Google_Sheet_Link_1809128286">AbaRemun</definedName>
    <definedName name="Google_Sheet_Link_1840243620_1262095295">print_titles_0_0</definedName>
    <definedName name="Google_Sheet_Link_1900009241">AbaDeprec</definedName>
    <definedName name="Google_Sheet_Link_1900302552_717510486">print_titles_0_0_0_0_0_0</definedName>
    <definedName name="Google_Sheet_Link_2015704365">AbaDeprec</definedName>
    <definedName name="Google_Sheet_Link_2095691374_486749058">print_titles_0_0</definedName>
    <definedName name="Google_Sheet_Link_2114911737_274185757">print_titles_0_0_0</definedName>
    <definedName name="Google_Sheet_Link_226921449_274185757">print_titles_0_0_0_0_0_0</definedName>
    <definedName name="Google_Sheet_Link_232194057">AbaRemun</definedName>
    <definedName name="Google_Sheet_Link_242342722">AbaDeprec</definedName>
    <definedName name="Google_Sheet_Link_272083301_1262095295">print_titles_0_0_0</definedName>
    <definedName name="Google_Sheet_Link_381194700_277266387">print_titles_0_0_0</definedName>
    <definedName name="Google_Sheet_Link_449320437_717510486">print_titles_0</definedName>
    <definedName name="Google_Sheet_Link_462677635">AbaRemun</definedName>
    <definedName name="Google_Sheet_Link_508534547">AbaRemun</definedName>
    <definedName name="Google_Sheet_Link_605010821_717510486">print_titles_0_0</definedName>
    <definedName name="Google_Sheet_Link_610769732_277266387">print_titles_0_0_0_0_0</definedName>
    <definedName name="Google_Sheet_Link_612677134_274185757">print_titles_0_0_0_0_0</definedName>
    <definedName name="Google_Sheet_Link_639513693">AbaRemun</definedName>
    <definedName name="Google_Sheet_Link_730534228">AbaDeprec</definedName>
    <definedName name="Google_Sheet_Link_741497956">AbaRemun</definedName>
    <definedName name="Google_Sheet_Link_747925257_2071846243">print_titles_0_0_0_0</definedName>
    <definedName name="Google_Sheet_Link_880592875_2071846243">print_titles_0_0_0</definedName>
    <definedName name="Google_Sheet_Link_900373810_2071846243">print_titles_0</definedName>
    <definedName name="Google_Sheet_Link_901519124_277266387">print_titles_0</definedName>
    <definedName name="Google_Sheet_Link_917123156_1262095295">print_titles_0_0_0_0_0</definedName>
    <definedName name="Google_Sheet_Link_946363014_2071846243">print_titles_0_0_0_0_0</definedName>
    <definedName name="Print_Titles_0" localSheetId="0">'0. Qtdades e Custos'!$1:$22</definedName>
    <definedName name="Print_Titles_0" localSheetId="1">'1. Capina e Roçada'!$1:$8</definedName>
    <definedName name="Print_Titles_0" localSheetId="2">'2. Varrição Manual'!$1:$8</definedName>
    <definedName name="Print_Titles_0" localSheetId="3">'3. Varrição Mecanizada'!$1:$8</definedName>
    <definedName name="Print_Titles_0" localSheetId="4">'4. Pintura Meio-Fios'!$1:$8</definedName>
    <definedName name="Print_Titles_0" localSheetId="5">'5. Equipe Técnica'!$1:$8</definedName>
    <definedName name="Print_Titles_0_0" localSheetId="0">'0. Qtdades e Custos'!$1:$22</definedName>
    <definedName name="Print_Titles_0_0" localSheetId="1">'1. Capina e Roçada'!$1:$8</definedName>
    <definedName name="Print_Titles_0_0" localSheetId="2">'2. Varrição Manual'!$1:$8</definedName>
    <definedName name="Print_Titles_0_0" localSheetId="3">'3. Varrição Mecanizada'!$1:$8</definedName>
    <definedName name="Print_Titles_0_0" localSheetId="4">'4. Pintura Meio-Fios'!$1:$8</definedName>
    <definedName name="Print_Titles_0_0" localSheetId="5">'5. Equipe Técnica'!$1:$8</definedName>
    <definedName name="Print_Titles_0_0_0" localSheetId="0">'0. Qtdades e Custos'!$1:$22</definedName>
    <definedName name="Print_Titles_0_0_0" localSheetId="1">'1. Capina e Roçada'!$1:$8</definedName>
    <definedName name="Print_Titles_0_0_0" localSheetId="2">'2. Varrição Manual'!$1:$8</definedName>
    <definedName name="Print_Titles_0_0_0" localSheetId="3">'3. Varrição Mecanizada'!$1:$8</definedName>
    <definedName name="Print_Titles_0_0_0" localSheetId="4">'4. Pintura Meio-Fios'!$1:$8</definedName>
    <definedName name="Print_Titles_0_0_0" localSheetId="5">'5. Equipe Técnica'!$1:$8</definedName>
    <definedName name="Print_Titles_0_0_0_0" localSheetId="0">'0. Qtdades e Custos'!$1:$22</definedName>
    <definedName name="Print_Titles_0_0_0_0" localSheetId="1">'1. Capina e Roçada'!$1:$8</definedName>
    <definedName name="Print_Titles_0_0_0_0" localSheetId="2">'2. Varrição Manual'!$1:$8</definedName>
    <definedName name="Print_Titles_0_0_0_0" localSheetId="3">'3. Varrição Mecanizada'!$1:$8</definedName>
    <definedName name="Print_Titles_0_0_0_0" localSheetId="4">'4. Pintura Meio-Fios'!$1:$8</definedName>
    <definedName name="Print_Titles_0_0_0_0" localSheetId="5">'5. Equipe Técnica'!$1:$8</definedName>
    <definedName name="Print_Titles_0_0_0_0_0" localSheetId="0">'0. Qtdades e Custos'!$1:$22</definedName>
    <definedName name="Print_Titles_0_0_0_0_0" localSheetId="1">'1. Capina e Roçada'!$1:$8</definedName>
    <definedName name="Print_Titles_0_0_0_0_0" localSheetId="2">'2. Varrição Manual'!$1:$8</definedName>
    <definedName name="Print_Titles_0_0_0_0_0" localSheetId="3">'3. Varrição Mecanizada'!$1:$8</definedName>
    <definedName name="Print_Titles_0_0_0_0_0" localSheetId="4">'4. Pintura Meio-Fios'!$1:$8</definedName>
    <definedName name="Print_Titles_0_0_0_0_0" localSheetId="5">'5. Equipe Técnica'!$1:$8</definedName>
    <definedName name="Print_Titles_0_0_0_0_0_0" localSheetId="0">'0. Qtdades e Custos'!$1:$22</definedName>
    <definedName name="Print_Titles_0_0_0_0_0_0" localSheetId="1">'1. Capina e Roçada'!$1:$8</definedName>
    <definedName name="Print_Titles_0_0_0_0_0_0" localSheetId="2">'2. Varrição Manual'!$1:$8</definedName>
    <definedName name="Print_Titles_0_0_0_0_0_0" localSheetId="3">'3. Varrição Mecanizada'!$1:$8</definedName>
    <definedName name="Print_Titles_0_0_0_0_0_0" localSheetId="4">'4. Pintura Meio-Fios'!$1:$8</definedName>
    <definedName name="Print_Titles_0_0_0_0_0_0" localSheetId="5">'5. Equipe Técnica'!$1:$8</definedName>
  </definedNames>
  <calcPr calcId="152511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5" i="9" l="1"/>
  <c r="C20" i="9" s="1"/>
  <c r="C317" i="6" s="1"/>
  <c r="F13" i="9"/>
  <c r="E13" i="9"/>
  <c r="D13" i="9"/>
  <c r="C25" i="8"/>
  <c r="C26" i="8" s="1"/>
  <c r="C31" i="7" s="1"/>
  <c r="C23" i="8"/>
  <c r="C20" i="7"/>
  <c r="C17" i="7"/>
  <c r="C305" i="6"/>
  <c r="C303" i="6"/>
  <c r="E303" i="6" s="1"/>
  <c r="E301" i="6"/>
  <c r="D296" i="6"/>
  <c r="E296" i="6" s="1"/>
  <c r="F297" i="6" s="1"/>
  <c r="E38" i="6" s="1"/>
  <c r="C296" i="6"/>
  <c r="E282" i="6"/>
  <c r="C280" i="6"/>
  <c r="E280" i="6" s="1"/>
  <c r="D278" i="6"/>
  <c r="E278" i="6" s="1"/>
  <c r="C278" i="6"/>
  <c r="E274" i="6"/>
  <c r="E263" i="6"/>
  <c r="C262" i="6"/>
  <c r="C279" i="6" s="1"/>
  <c r="E279" i="6" s="1"/>
  <c r="C259" i="6"/>
  <c r="C257" i="6"/>
  <c r="D256" i="6"/>
  <c r="C249" i="6"/>
  <c r="E247" i="6"/>
  <c r="E245" i="6"/>
  <c r="D248" i="6" s="1"/>
  <c r="E248" i="6" s="1"/>
  <c r="D249" i="6" s="1"/>
  <c r="C240" i="6"/>
  <c r="E226" i="6"/>
  <c r="C222" i="6"/>
  <c r="E218" i="6"/>
  <c r="D211" i="6"/>
  <c r="E207" i="6"/>
  <c r="C206" i="6"/>
  <c r="C223" i="6" s="1"/>
  <c r="E223" i="6" s="1"/>
  <c r="C203" i="6"/>
  <c r="C201" i="6"/>
  <c r="D200" i="6"/>
  <c r="E200" i="6" s="1"/>
  <c r="D188" i="6"/>
  <c r="E188" i="6" s="1"/>
  <c r="C188" i="6"/>
  <c r="D187" i="6"/>
  <c r="E187" i="6" s="1"/>
  <c r="C187" i="6"/>
  <c r="E186" i="6"/>
  <c r="D186" i="6"/>
  <c r="C186" i="6"/>
  <c r="D185" i="6"/>
  <c r="E185" i="6" s="1"/>
  <c r="C185" i="6"/>
  <c r="D184" i="6"/>
  <c r="C184" i="6"/>
  <c r="E184" i="6" s="1"/>
  <c r="D189" i="6" s="1"/>
  <c r="E179" i="6"/>
  <c r="D177" i="6"/>
  <c r="C177" i="6"/>
  <c r="E177" i="6" s="1"/>
  <c r="D176" i="6"/>
  <c r="E176" i="6" s="1"/>
  <c r="C176" i="6"/>
  <c r="E175" i="6"/>
  <c r="D175" i="6"/>
  <c r="C175" i="6"/>
  <c r="D174" i="6"/>
  <c r="C174" i="6"/>
  <c r="D173" i="6"/>
  <c r="C173" i="6"/>
  <c r="D172" i="6"/>
  <c r="C172" i="6"/>
  <c r="D171" i="6"/>
  <c r="E171" i="6" s="1"/>
  <c r="C171" i="6"/>
  <c r="D170" i="6"/>
  <c r="C170" i="6"/>
  <c r="E170" i="6" s="1"/>
  <c r="D169" i="6"/>
  <c r="E169" i="6" s="1"/>
  <c r="D178" i="6" s="1"/>
  <c r="C169" i="6"/>
  <c r="E164" i="6"/>
  <c r="D162" i="6"/>
  <c r="E162" i="6" s="1"/>
  <c r="C162" i="6"/>
  <c r="D161" i="6"/>
  <c r="C161" i="6"/>
  <c r="E161" i="6" s="1"/>
  <c r="D160" i="6"/>
  <c r="E160" i="6" s="1"/>
  <c r="C160" i="6"/>
  <c r="D159" i="6"/>
  <c r="C159" i="6"/>
  <c r="E159" i="6" s="1"/>
  <c r="D158" i="6"/>
  <c r="E158" i="6" s="1"/>
  <c r="C158" i="6"/>
  <c r="E157" i="6"/>
  <c r="D157" i="6"/>
  <c r="C157" i="6"/>
  <c r="D156" i="6"/>
  <c r="E156" i="6" s="1"/>
  <c r="C156" i="6"/>
  <c r="E155" i="6"/>
  <c r="D155" i="6"/>
  <c r="C155" i="6"/>
  <c r="D154" i="6"/>
  <c r="E154" i="6" s="1"/>
  <c r="C154" i="6"/>
  <c r="E149" i="6"/>
  <c r="D147" i="6"/>
  <c r="E147" i="6" s="1"/>
  <c r="C147" i="6"/>
  <c r="E146" i="6"/>
  <c r="D146" i="6"/>
  <c r="C146" i="6"/>
  <c r="D145" i="6"/>
  <c r="E145" i="6" s="1"/>
  <c r="C145" i="6"/>
  <c r="E144" i="6"/>
  <c r="D144" i="6"/>
  <c r="C144" i="6"/>
  <c r="D143" i="6"/>
  <c r="E143" i="6" s="1"/>
  <c r="C143" i="6"/>
  <c r="D142" i="6"/>
  <c r="C142" i="6"/>
  <c r="E142" i="6" s="1"/>
  <c r="D141" i="6"/>
  <c r="E141" i="6" s="1"/>
  <c r="C141" i="6"/>
  <c r="D140" i="6"/>
  <c r="C140" i="6"/>
  <c r="E140" i="6" s="1"/>
  <c r="D139" i="6"/>
  <c r="E139" i="6" s="1"/>
  <c r="C139" i="6"/>
  <c r="E130" i="6"/>
  <c r="A128" i="6"/>
  <c r="A127" i="6"/>
  <c r="C122" i="6"/>
  <c r="E122" i="6" s="1"/>
  <c r="A122" i="6"/>
  <c r="A129" i="6" s="1"/>
  <c r="A121" i="6"/>
  <c r="C120" i="6"/>
  <c r="E120" i="6" s="1"/>
  <c r="A120" i="6"/>
  <c r="C115" i="6"/>
  <c r="A115" i="6"/>
  <c r="A108" i="6"/>
  <c r="A107" i="6"/>
  <c r="C106" i="6"/>
  <c r="A106" i="6"/>
  <c r="C105" i="6"/>
  <c r="E100" i="6"/>
  <c r="E94" i="6"/>
  <c r="E90" i="6"/>
  <c r="E84" i="6"/>
  <c r="E80" i="6"/>
  <c r="E74" i="6"/>
  <c r="E70" i="6"/>
  <c r="E64" i="6"/>
  <c r="B58" i="6"/>
  <c r="E190" i="6" s="1"/>
  <c r="E55" i="6"/>
  <c r="E54" i="6"/>
  <c r="A54" i="6"/>
  <c r="E53" i="6"/>
  <c r="A53" i="6"/>
  <c r="E49" i="6"/>
  <c r="C189" i="6" s="1"/>
  <c r="A49" i="6"/>
  <c r="E48" i="6"/>
  <c r="A48" i="6"/>
  <c r="E47" i="6"/>
  <c r="C128" i="6" s="1"/>
  <c r="E128" i="6" s="1"/>
  <c r="A47" i="6"/>
  <c r="E46" i="6"/>
  <c r="E50" i="6" s="1"/>
  <c r="A46" i="6"/>
  <c r="A40" i="6"/>
  <c r="A39" i="6"/>
  <c r="A38" i="6"/>
  <c r="A37" i="6"/>
  <c r="A36" i="6"/>
  <c r="A33" i="6"/>
  <c r="A32" i="6"/>
  <c r="A31" i="6"/>
  <c r="A30" i="6"/>
  <c r="A29" i="6"/>
  <c r="A26" i="6"/>
  <c r="A25" i="6"/>
  <c r="A24" i="6"/>
  <c r="A23" i="6"/>
  <c r="A22" i="6"/>
  <c r="A21" i="6"/>
  <c r="A20" i="6"/>
  <c r="A19" i="6"/>
  <c r="A18" i="6"/>
  <c r="A17" i="6"/>
  <c r="A16" i="6"/>
  <c r="D242" i="5"/>
  <c r="C226" i="5"/>
  <c r="D216" i="5"/>
  <c r="D215" i="5"/>
  <c r="D214" i="5"/>
  <c r="D213" i="5"/>
  <c r="D212" i="5"/>
  <c r="E201" i="5"/>
  <c r="D201" i="5"/>
  <c r="D199" i="5"/>
  <c r="D200" i="5" s="1"/>
  <c r="E200" i="5" s="1"/>
  <c r="E195" i="5"/>
  <c r="F195" i="5" s="1"/>
  <c r="C190" i="5"/>
  <c r="E190" i="5" s="1"/>
  <c r="F191" i="5" s="1"/>
  <c r="E30" i="5" s="1"/>
  <c r="D189" i="5"/>
  <c r="E189" i="5" s="1"/>
  <c r="D190" i="5" s="1"/>
  <c r="C188" i="5"/>
  <c r="E188" i="5" s="1"/>
  <c r="E186" i="5"/>
  <c r="D181" i="5"/>
  <c r="C181" i="5"/>
  <c r="E181" i="5" s="1"/>
  <c r="F182" i="5" s="1"/>
  <c r="E29" i="5" s="1"/>
  <c r="B171" i="5"/>
  <c r="E167" i="5"/>
  <c r="E159" i="5"/>
  <c r="D152" i="5"/>
  <c r="E152" i="5" s="1"/>
  <c r="E148" i="5"/>
  <c r="C147" i="5"/>
  <c r="C145" i="5"/>
  <c r="C144" i="5"/>
  <c r="C142" i="5"/>
  <c r="E141" i="5"/>
  <c r="D141" i="5"/>
  <c r="E130" i="5"/>
  <c r="D128" i="5"/>
  <c r="C128" i="5"/>
  <c r="E128" i="5" s="1"/>
  <c r="D127" i="5"/>
  <c r="C127" i="5"/>
  <c r="D126" i="5"/>
  <c r="C126" i="5"/>
  <c r="D125" i="5"/>
  <c r="C125" i="5"/>
  <c r="E125" i="5" s="1"/>
  <c r="E124" i="5"/>
  <c r="D124" i="5"/>
  <c r="C124" i="5"/>
  <c r="D123" i="5"/>
  <c r="E123" i="5" s="1"/>
  <c r="C123" i="5"/>
  <c r="D122" i="5"/>
  <c r="C122" i="5"/>
  <c r="E121" i="5"/>
  <c r="D121" i="5"/>
  <c r="C121" i="5"/>
  <c r="D120" i="5"/>
  <c r="E120" i="5" s="1"/>
  <c r="C120" i="5"/>
  <c r="D119" i="5"/>
  <c r="E119" i="5" s="1"/>
  <c r="C119" i="5"/>
  <c r="E114" i="5"/>
  <c r="E112" i="5"/>
  <c r="D112" i="5"/>
  <c r="C112" i="5"/>
  <c r="D111" i="5"/>
  <c r="C111" i="5"/>
  <c r="D110" i="5"/>
  <c r="C110" i="5"/>
  <c r="E110" i="5" s="1"/>
  <c r="E109" i="5"/>
  <c r="D109" i="5"/>
  <c r="C109" i="5"/>
  <c r="D108" i="5"/>
  <c r="E108" i="5" s="1"/>
  <c r="C108" i="5"/>
  <c r="D107" i="5"/>
  <c r="C107" i="5"/>
  <c r="E106" i="5"/>
  <c r="D106" i="5"/>
  <c r="C106" i="5"/>
  <c r="D105" i="5"/>
  <c r="E105" i="5" s="1"/>
  <c r="C105" i="5"/>
  <c r="D104" i="5"/>
  <c r="C104" i="5"/>
  <c r="D103" i="5"/>
  <c r="E103" i="5" s="1"/>
  <c r="C103" i="5"/>
  <c r="E102" i="5"/>
  <c r="D102" i="5"/>
  <c r="C102" i="5"/>
  <c r="D101" i="5"/>
  <c r="E101" i="5" s="1"/>
  <c r="C101" i="5"/>
  <c r="E92" i="5"/>
  <c r="E84" i="5"/>
  <c r="C84" i="5"/>
  <c r="D79" i="5"/>
  <c r="A79" i="5"/>
  <c r="A85" i="5" s="1"/>
  <c r="A91" i="5" s="1"/>
  <c r="A78" i="5"/>
  <c r="A84" i="5" s="1"/>
  <c r="A90" i="5" s="1"/>
  <c r="E72" i="5"/>
  <c r="C71" i="5"/>
  <c r="D67" i="5"/>
  <c r="E67" i="5" s="1"/>
  <c r="E68" i="5" s="1"/>
  <c r="D69" i="5" s="1"/>
  <c r="E64" i="5"/>
  <c r="E60" i="5"/>
  <c r="C59" i="5"/>
  <c r="C78" i="5" s="1"/>
  <c r="E54" i="5"/>
  <c r="A45" i="5"/>
  <c r="A41" i="5"/>
  <c r="E40" i="5"/>
  <c r="A40" i="5"/>
  <c r="A34" i="5"/>
  <c r="A33" i="5"/>
  <c r="A32" i="5"/>
  <c r="E31" i="5"/>
  <c r="A31" i="5"/>
  <c r="A30" i="5"/>
  <c r="A29" i="5"/>
  <c r="A28" i="5"/>
  <c r="A27" i="5"/>
  <c r="A24" i="5"/>
  <c r="A23" i="5"/>
  <c r="A22" i="5"/>
  <c r="A21" i="5"/>
  <c r="A20" i="5"/>
  <c r="A19" i="5"/>
  <c r="A18" i="5"/>
  <c r="A17" i="5"/>
  <c r="A16" i="5"/>
  <c r="C220" i="4"/>
  <c r="D206" i="4"/>
  <c r="E206" i="4" s="1"/>
  <c r="D204" i="4"/>
  <c r="C199" i="4"/>
  <c r="E197" i="4"/>
  <c r="C197" i="4"/>
  <c r="E195" i="4"/>
  <c r="E190" i="4"/>
  <c r="F191" i="4" s="1"/>
  <c r="E29" i="4" s="1"/>
  <c r="D190" i="4"/>
  <c r="C190" i="4"/>
  <c r="E176" i="4"/>
  <c r="E168" i="4"/>
  <c r="C162" i="4"/>
  <c r="D161" i="4"/>
  <c r="C161" i="4"/>
  <c r="E161" i="4" s="1"/>
  <c r="E152" i="4"/>
  <c r="C151" i="4"/>
  <c r="C146" i="4"/>
  <c r="E145" i="4"/>
  <c r="D148" i="4" s="1"/>
  <c r="D145" i="4"/>
  <c r="C145" i="4"/>
  <c r="C143" i="4"/>
  <c r="C141" i="4"/>
  <c r="C144" i="4" s="1"/>
  <c r="D140" i="4"/>
  <c r="E130" i="4"/>
  <c r="D128" i="4"/>
  <c r="C128" i="4"/>
  <c r="D127" i="4"/>
  <c r="E127" i="4" s="1"/>
  <c r="C127" i="4"/>
  <c r="E126" i="4"/>
  <c r="D126" i="4"/>
  <c r="C126" i="4"/>
  <c r="D125" i="4"/>
  <c r="E125" i="4" s="1"/>
  <c r="C125" i="4"/>
  <c r="D124" i="4"/>
  <c r="E124" i="4" s="1"/>
  <c r="C124" i="4"/>
  <c r="D123" i="4"/>
  <c r="C123" i="4"/>
  <c r="E117" i="4"/>
  <c r="D115" i="4"/>
  <c r="E115" i="4" s="1"/>
  <c r="C115" i="4"/>
  <c r="E114" i="4"/>
  <c r="D114" i="4"/>
  <c r="C114" i="4"/>
  <c r="D113" i="4"/>
  <c r="E113" i="4" s="1"/>
  <c r="C113" i="4"/>
  <c r="D112" i="4"/>
  <c r="E112" i="4" s="1"/>
  <c r="C112" i="4"/>
  <c r="D111" i="4"/>
  <c r="C111" i="4"/>
  <c r="E110" i="4"/>
  <c r="D110" i="4"/>
  <c r="C110" i="4"/>
  <c r="E109" i="4"/>
  <c r="D109" i="4"/>
  <c r="C109" i="4"/>
  <c r="D108" i="4"/>
  <c r="C108" i="4"/>
  <c r="D107" i="4"/>
  <c r="E107" i="4" s="1"/>
  <c r="C107" i="4"/>
  <c r="E106" i="4"/>
  <c r="D106" i="4"/>
  <c r="C106" i="4"/>
  <c r="D105" i="4"/>
  <c r="E105" i="4" s="1"/>
  <c r="C105" i="4"/>
  <c r="D104" i="4"/>
  <c r="E104" i="4" s="1"/>
  <c r="C104" i="4"/>
  <c r="E95" i="4"/>
  <c r="C88" i="4"/>
  <c r="E88" i="4" s="1"/>
  <c r="A87" i="4"/>
  <c r="A93" i="4" s="1"/>
  <c r="C82" i="4"/>
  <c r="A82" i="4"/>
  <c r="A88" i="4" s="1"/>
  <c r="A94" i="4" s="1"/>
  <c r="D81" i="4"/>
  <c r="A81" i="4"/>
  <c r="E75" i="4"/>
  <c r="C74" i="4"/>
  <c r="E70" i="4"/>
  <c r="D70" i="4"/>
  <c r="D67" i="4"/>
  <c r="E65" i="4"/>
  <c r="E60" i="4"/>
  <c r="C59" i="4"/>
  <c r="D53" i="4"/>
  <c r="C53" i="4"/>
  <c r="E52" i="4"/>
  <c r="A43" i="4"/>
  <c r="A24" i="4" s="1"/>
  <c r="E39" i="4"/>
  <c r="C129" i="4" s="1"/>
  <c r="A39" i="4"/>
  <c r="A38" i="4"/>
  <c r="A32" i="4"/>
  <c r="A31" i="4"/>
  <c r="A30" i="4"/>
  <c r="A29" i="4"/>
  <c r="A28" i="4"/>
  <c r="A27" i="4"/>
  <c r="A23" i="4"/>
  <c r="A22" i="4"/>
  <c r="A21" i="4"/>
  <c r="A20" i="4"/>
  <c r="A19" i="4"/>
  <c r="A18" i="4"/>
  <c r="A17" i="4"/>
  <c r="A16" i="4"/>
  <c r="D289" i="3"/>
  <c r="E274" i="3"/>
  <c r="F275" i="3" s="1"/>
  <c r="F277" i="3" s="1"/>
  <c r="E36" i="3" s="1"/>
  <c r="D274" i="3"/>
  <c r="C274" i="3"/>
  <c r="D264" i="3"/>
  <c r="D263" i="3"/>
  <c r="D262" i="3"/>
  <c r="D261" i="3"/>
  <c r="E249" i="3"/>
  <c r="D249" i="3"/>
  <c r="E248" i="3"/>
  <c r="E250" i="3" s="1"/>
  <c r="F251" i="3" s="1"/>
  <c r="F253" i="3" s="1"/>
  <c r="E34" i="3" s="1"/>
  <c r="D248" i="3"/>
  <c r="E247" i="3"/>
  <c r="D247" i="3"/>
  <c r="E238" i="3"/>
  <c r="F238" i="3" s="1"/>
  <c r="E32" i="3" s="1"/>
  <c r="F234" i="3"/>
  <c r="E31" i="3" s="1"/>
  <c r="C233" i="3"/>
  <c r="E233" i="3" s="1"/>
  <c r="C231" i="3"/>
  <c r="E231" i="3" s="1"/>
  <c r="E229" i="3"/>
  <c r="D232" i="3" s="1"/>
  <c r="E232" i="3" s="1"/>
  <c r="D233" i="3" s="1"/>
  <c r="D224" i="3"/>
  <c r="C224" i="3"/>
  <c r="B214" i="3"/>
  <c r="E210" i="3"/>
  <c r="E208" i="3"/>
  <c r="C208" i="3"/>
  <c r="E202" i="3"/>
  <c r="C196" i="3"/>
  <c r="C195" i="3"/>
  <c r="E186" i="3"/>
  <c r="C185" i="3"/>
  <c r="C206" i="3" s="1"/>
  <c r="D182" i="3"/>
  <c r="E179" i="3"/>
  <c r="D179" i="3"/>
  <c r="D195" i="3" s="1"/>
  <c r="C179" i="3"/>
  <c r="C178" i="3"/>
  <c r="C175" i="3"/>
  <c r="D174" i="3"/>
  <c r="D190" i="3" s="1"/>
  <c r="E190" i="3" s="1"/>
  <c r="E164" i="3"/>
  <c r="C163" i="3"/>
  <c r="D162" i="3"/>
  <c r="C162" i="3"/>
  <c r="E161" i="3"/>
  <c r="D161" i="3"/>
  <c r="C161" i="3"/>
  <c r="D160" i="3"/>
  <c r="E160" i="3" s="1"/>
  <c r="C160" i="3"/>
  <c r="D159" i="3"/>
  <c r="C159" i="3"/>
  <c r="D158" i="3"/>
  <c r="E158" i="3" s="1"/>
  <c r="C158" i="3"/>
  <c r="E157" i="3"/>
  <c r="D157" i="3"/>
  <c r="C157" i="3"/>
  <c r="E152" i="3"/>
  <c r="E150" i="3"/>
  <c r="D150" i="3"/>
  <c r="C150" i="3"/>
  <c r="D149" i="3"/>
  <c r="E149" i="3" s="1"/>
  <c r="C149" i="3"/>
  <c r="D148" i="3"/>
  <c r="E148" i="3" s="1"/>
  <c r="C148" i="3"/>
  <c r="D147" i="3"/>
  <c r="C147" i="3"/>
  <c r="E147" i="3" s="1"/>
  <c r="E146" i="3"/>
  <c r="D146" i="3"/>
  <c r="C146" i="3"/>
  <c r="E145" i="3"/>
  <c r="D145" i="3"/>
  <c r="C145" i="3"/>
  <c r="D144" i="3"/>
  <c r="C144" i="3"/>
  <c r="D143" i="3"/>
  <c r="C143" i="3"/>
  <c r="E143" i="3" s="1"/>
  <c r="E142" i="3"/>
  <c r="D142" i="3"/>
  <c r="C142" i="3"/>
  <c r="D141" i="3"/>
  <c r="E141" i="3" s="1"/>
  <c r="C141" i="3"/>
  <c r="E136" i="3"/>
  <c r="E134" i="3"/>
  <c r="D134" i="3"/>
  <c r="C134" i="3"/>
  <c r="D133" i="3"/>
  <c r="C133" i="3"/>
  <c r="D132" i="3"/>
  <c r="C132" i="3"/>
  <c r="E132" i="3" s="1"/>
  <c r="E131" i="3"/>
  <c r="D131" i="3"/>
  <c r="C131" i="3"/>
  <c r="D130" i="3"/>
  <c r="E130" i="3" s="1"/>
  <c r="C130" i="3"/>
  <c r="D129" i="3"/>
  <c r="E129" i="3" s="1"/>
  <c r="C129" i="3"/>
  <c r="D128" i="3"/>
  <c r="C128" i="3"/>
  <c r="E128" i="3" s="1"/>
  <c r="E127" i="3"/>
  <c r="D127" i="3"/>
  <c r="C127" i="3"/>
  <c r="E126" i="3"/>
  <c r="D126" i="3"/>
  <c r="C126" i="3"/>
  <c r="D125" i="3"/>
  <c r="C125" i="3"/>
  <c r="D124" i="3"/>
  <c r="C124" i="3"/>
  <c r="E124" i="3" s="1"/>
  <c r="E123" i="3"/>
  <c r="D123" i="3"/>
  <c r="C123" i="3"/>
  <c r="E114" i="3"/>
  <c r="C113" i="3"/>
  <c r="E113" i="3" s="1"/>
  <c r="C104" i="3"/>
  <c r="E104" i="3" s="1"/>
  <c r="A104" i="3"/>
  <c r="A111" i="3" s="1"/>
  <c r="C99" i="3"/>
  <c r="E99" i="3" s="1"/>
  <c r="A99" i="3"/>
  <c r="A106" i="3" s="1"/>
  <c r="A113" i="3" s="1"/>
  <c r="D98" i="3"/>
  <c r="A98" i="3"/>
  <c r="A105" i="3" s="1"/>
  <c r="A112" i="3" s="1"/>
  <c r="D97" i="3"/>
  <c r="C97" i="3"/>
  <c r="A97" i="3"/>
  <c r="E91" i="3"/>
  <c r="C90" i="3"/>
  <c r="E86" i="3"/>
  <c r="D86" i="3"/>
  <c r="E83" i="3"/>
  <c r="D83" i="3"/>
  <c r="E81" i="3"/>
  <c r="D99" i="3" s="1"/>
  <c r="E77" i="3"/>
  <c r="C76" i="3"/>
  <c r="D70" i="3"/>
  <c r="C70" i="3"/>
  <c r="E69" i="3"/>
  <c r="E65" i="3"/>
  <c r="C64" i="3"/>
  <c r="E58" i="3"/>
  <c r="D59" i="3" s="1"/>
  <c r="E59" i="3" s="1"/>
  <c r="D58" i="3"/>
  <c r="C58" i="3"/>
  <c r="C83" i="3" s="1"/>
  <c r="E57" i="3"/>
  <c r="E49" i="3"/>
  <c r="E48" i="3"/>
  <c r="A48" i="3"/>
  <c r="E44" i="3"/>
  <c r="C106" i="3" s="1"/>
  <c r="E106" i="3" s="1"/>
  <c r="A44" i="3"/>
  <c r="A43" i="3"/>
  <c r="E42" i="3"/>
  <c r="A42" i="3"/>
  <c r="A36" i="3"/>
  <c r="A35" i="3"/>
  <c r="A34" i="3"/>
  <c r="A33" i="3"/>
  <c r="A32" i="3"/>
  <c r="A31" i="3"/>
  <c r="A30" i="3"/>
  <c r="A29" i="3"/>
  <c r="A28" i="3"/>
  <c r="A25" i="3"/>
  <c r="A24" i="3"/>
  <c r="A23" i="3"/>
  <c r="A22" i="3"/>
  <c r="A21" i="3"/>
  <c r="A20" i="3"/>
  <c r="A19" i="3"/>
  <c r="A18" i="3"/>
  <c r="A17" i="3"/>
  <c r="A16" i="3"/>
  <c r="D759" i="2"/>
  <c r="C744" i="2"/>
  <c r="D734" i="2"/>
  <c r="D733" i="2"/>
  <c r="D732" i="2"/>
  <c r="D731" i="2"/>
  <c r="D730" i="2"/>
  <c r="D729" i="2"/>
  <c r="E712" i="2"/>
  <c r="D705" i="2"/>
  <c r="E705" i="2" s="1"/>
  <c r="E701" i="2"/>
  <c r="C700" i="2"/>
  <c r="C711" i="2" s="1"/>
  <c r="C695" i="2"/>
  <c r="E694" i="2"/>
  <c r="D697" i="2" s="1"/>
  <c r="D694" i="2"/>
  <c r="E679" i="2"/>
  <c r="D672" i="2"/>
  <c r="E672" i="2" s="1"/>
  <c r="E668" i="2"/>
  <c r="C667" i="2"/>
  <c r="C662" i="2"/>
  <c r="E661" i="2"/>
  <c r="D664" i="2" s="1"/>
  <c r="D661" i="2"/>
  <c r="D649" i="2"/>
  <c r="E649" i="2" s="1"/>
  <c r="D647" i="2"/>
  <c r="C642" i="2"/>
  <c r="C640" i="2"/>
  <c r="E640" i="2" s="1"/>
  <c r="E638" i="2"/>
  <c r="D641" i="2" s="1"/>
  <c r="E641" i="2" s="1"/>
  <c r="D642" i="2" s="1"/>
  <c r="D633" i="2"/>
  <c r="C633" i="2"/>
  <c r="B623" i="2"/>
  <c r="E619" i="2"/>
  <c r="C617" i="2"/>
  <c r="E617" i="2" s="1"/>
  <c r="E615" i="2"/>
  <c r="D615" i="2"/>
  <c r="C615" i="2"/>
  <c r="E611" i="2"/>
  <c r="E600" i="2"/>
  <c r="C599" i="2"/>
  <c r="C616" i="2" s="1"/>
  <c r="E616" i="2" s="1"/>
  <c r="C596" i="2"/>
  <c r="C594" i="2"/>
  <c r="E593" i="2"/>
  <c r="C606" i="2" s="1"/>
  <c r="D593" i="2"/>
  <c r="D604" i="2" s="1"/>
  <c r="E604" i="2" s="1"/>
  <c r="E582" i="2"/>
  <c r="D582" i="2"/>
  <c r="D581" i="2"/>
  <c r="E581" i="2" s="1"/>
  <c r="E583" i="2" s="1"/>
  <c r="F584" i="2" s="1"/>
  <c r="F586" i="2" s="1"/>
  <c r="E580" i="2"/>
  <c r="D580" i="2"/>
  <c r="D575" i="2"/>
  <c r="D574" i="2"/>
  <c r="E574" i="2" s="1"/>
  <c r="E573" i="2"/>
  <c r="C573" i="2"/>
  <c r="E571" i="2"/>
  <c r="E567" i="2"/>
  <c r="D568" i="2" s="1"/>
  <c r="E568" i="2" s="1"/>
  <c r="D569" i="2" s="1"/>
  <c r="C567" i="2"/>
  <c r="E565" i="2"/>
  <c r="C560" i="2"/>
  <c r="B550" i="2"/>
  <c r="E546" i="2"/>
  <c r="C542" i="2"/>
  <c r="E538" i="2"/>
  <c r="C532" i="2"/>
  <c r="E531" i="2"/>
  <c r="D531" i="2"/>
  <c r="C531" i="2"/>
  <c r="E522" i="2"/>
  <c r="C521" i="2"/>
  <c r="C518" i="2"/>
  <c r="E518" i="2" s="1"/>
  <c r="C516" i="2"/>
  <c r="E515" i="2"/>
  <c r="D518" i="2" s="1"/>
  <c r="D515" i="2"/>
  <c r="C513" i="2"/>
  <c r="C511" i="2"/>
  <c r="D510" i="2"/>
  <c r="D499" i="2"/>
  <c r="E499" i="2" s="1"/>
  <c r="E500" i="2" s="1"/>
  <c r="F501" i="2" s="1"/>
  <c r="F503" i="2" s="1"/>
  <c r="E497" i="2"/>
  <c r="D497" i="2"/>
  <c r="D498" i="2" s="1"/>
  <c r="E498" i="2" s="1"/>
  <c r="C492" i="2"/>
  <c r="E490" i="2"/>
  <c r="C490" i="2"/>
  <c r="E488" i="2"/>
  <c r="C486" i="2"/>
  <c r="E484" i="2"/>
  <c r="C484" i="2"/>
  <c r="E482" i="2"/>
  <c r="D485" i="2" s="1"/>
  <c r="E485" i="2" s="1"/>
  <c r="D486" i="2" s="1"/>
  <c r="E477" i="2"/>
  <c r="F478" i="2" s="1"/>
  <c r="D477" i="2"/>
  <c r="C477" i="2"/>
  <c r="B467" i="2"/>
  <c r="E463" i="2"/>
  <c r="E455" i="2"/>
  <c r="C449" i="2"/>
  <c r="D448" i="2"/>
  <c r="C448" i="2"/>
  <c r="E439" i="2"/>
  <c r="C438" i="2"/>
  <c r="C460" i="2" s="1"/>
  <c r="E460" i="2" s="1"/>
  <c r="C436" i="2"/>
  <c r="C433" i="2"/>
  <c r="E432" i="2"/>
  <c r="D435" i="2" s="1"/>
  <c r="D432" i="2"/>
  <c r="C432" i="2"/>
  <c r="C430" i="2"/>
  <c r="C428" i="2"/>
  <c r="C431" i="2" s="1"/>
  <c r="D427" i="2"/>
  <c r="E414" i="2"/>
  <c r="D414" i="2"/>
  <c r="D412" i="2"/>
  <c r="C406" i="2"/>
  <c r="E406" i="2" s="1"/>
  <c r="E404" i="2"/>
  <c r="C401" i="2"/>
  <c r="E401" i="2" s="1"/>
  <c r="E399" i="2"/>
  <c r="D394" i="2"/>
  <c r="E394" i="2" s="1"/>
  <c r="F395" i="2" s="1"/>
  <c r="C394" i="2"/>
  <c r="B384" i="2"/>
  <c r="C403" i="2" s="1"/>
  <c r="E380" i="2"/>
  <c r="C377" i="2"/>
  <c r="E377" i="2" s="1"/>
  <c r="E372" i="2"/>
  <c r="C371" i="2"/>
  <c r="E361" i="2"/>
  <c r="C360" i="2"/>
  <c r="C355" i="2"/>
  <c r="E354" i="2"/>
  <c r="D357" i="2" s="1"/>
  <c r="D354" i="2"/>
  <c r="D365" i="2" s="1"/>
  <c r="E365" i="2" s="1"/>
  <c r="D342" i="2"/>
  <c r="E342" i="2" s="1"/>
  <c r="D340" i="2"/>
  <c r="F331" i="2"/>
  <c r="E331" i="2"/>
  <c r="E324" i="2"/>
  <c r="C324" i="2"/>
  <c r="E322" i="2"/>
  <c r="E317" i="2"/>
  <c r="F318" i="2" s="1"/>
  <c r="D317" i="2"/>
  <c r="C317" i="2"/>
  <c r="B307" i="2"/>
  <c r="C408" i="2" s="1"/>
  <c r="E303" i="2"/>
  <c r="H298" i="2"/>
  <c r="E295" i="2"/>
  <c r="C294" i="2"/>
  <c r="D288" i="2"/>
  <c r="E288" i="2" s="1"/>
  <c r="E284" i="2"/>
  <c r="C283" i="2"/>
  <c r="C281" i="2"/>
  <c r="C278" i="2"/>
  <c r="E277" i="2"/>
  <c r="D459" i="2" s="1"/>
  <c r="D277" i="2"/>
  <c r="E267" i="2"/>
  <c r="D265" i="2"/>
  <c r="C265" i="2"/>
  <c r="E265" i="2" s="1"/>
  <c r="E264" i="2"/>
  <c r="D264" i="2"/>
  <c r="C264" i="2"/>
  <c r="E263" i="2"/>
  <c r="D263" i="2"/>
  <c r="C263" i="2"/>
  <c r="D262" i="2"/>
  <c r="C262" i="2"/>
  <c r="D261" i="2"/>
  <c r="C261" i="2"/>
  <c r="E261" i="2" s="1"/>
  <c r="E260" i="2"/>
  <c r="D260" i="2"/>
  <c r="C260" i="2"/>
  <c r="D259" i="2"/>
  <c r="E259" i="2" s="1"/>
  <c r="C259" i="2"/>
  <c r="D258" i="2"/>
  <c r="E258" i="2" s="1"/>
  <c r="C258" i="2"/>
  <c r="D257" i="2"/>
  <c r="C257" i="2"/>
  <c r="E257" i="2" s="1"/>
  <c r="E252" i="2"/>
  <c r="D250" i="2"/>
  <c r="C250" i="2"/>
  <c r="E250" i="2" s="1"/>
  <c r="E249" i="2"/>
  <c r="D249" i="2"/>
  <c r="C249" i="2"/>
  <c r="D248" i="2"/>
  <c r="E248" i="2" s="1"/>
  <c r="C248" i="2"/>
  <c r="D247" i="2"/>
  <c r="E247" i="2" s="1"/>
  <c r="C247" i="2"/>
  <c r="D246" i="2"/>
  <c r="C246" i="2"/>
  <c r="E246" i="2" s="1"/>
  <c r="E245" i="2"/>
  <c r="D251" i="2" s="1"/>
  <c r="D245" i="2"/>
  <c r="C245" i="2"/>
  <c r="E240" i="2"/>
  <c r="E238" i="2"/>
  <c r="D238" i="2"/>
  <c r="C238" i="2"/>
  <c r="D237" i="2"/>
  <c r="E237" i="2" s="1"/>
  <c r="C237" i="2"/>
  <c r="D236" i="2"/>
  <c r="E236" i="2" s="1"/>
  <c r="C236" i="2"/>
  <c r="D235" i="2"/>
  <c r="C235" i="2"/>
  <c r="E235" i="2" s="1"/>
  <c r="E234" i="2"/>
  <c r="D234" i="2"/>
  <c r="C234" i="2"/>
  <c r="E233" i="2"/>
  <c r="D239" i="2" s="1"/>
  <c r="D233" i="2"/>
  <c r="C233" i="2"/>
  <c r="E228" i="2"/>
  <c r="E226" i="2"/>
  <c r="D226" i="2"/>
  <c r="C226" i="2"/>
  <c r="D225" i="2"/>
  <c r="E225" i="2" s="1"/>
  <c r="C225" i="2"/>
  <c r="D224" i="2"/>
  <c r="C224" i="2"/>
  <c r="E224" i="2" s="1"/>
  <c r="E223" i="2"/>
  <c r="D223" i="2"/>
  <c r="C223" i="2"/>
  <c r="D222" i="2"/>
  <c r="E222" i="2" s="1"/>
  <c r="C222" i="2"/>
  <c r="D221" i="2"/>
  <c r="C221" i="2"/>
  <c r="D220" i="2"/>
  <c r="C220" i="2"/>
  <c r="E220" i="2" s="1"/>
  <c r="E219" i="2"/>
  <c r="D219" i="2"/>
  <c r="C219" i="2"/>
  <c r="E218" i="2"/>
  <c r="D218" i="2"/>
  <c r="C218" i="2"/>
  <c r="D217" i="2"/>
  <c r="E217" i="2" s="1"/>
  <c r="C217" i="2"/>
  <c r="E212" i="2"/>
  <c r="D210" i="2"/>
  <c r="E210" i="2" s="1"/>
  <c r="C210" i="2"/>
  <c r="D209" i="2"/>
  <c r="C209" i="2"/>
  <c r="E209" i="2" s="1"/>
  <c r="E208" i="2"/>
  <c r="D208" i="2"/>
  <c r="C208" i="2"/>
  <c r="E207" i="2"/>
  <c r="D207" i="2"/>
  <c r="C207" i="2"/>
  <c r="D206" i="2"/>
  <c r="C206" i="2"/>
  <c r="D205" i="2"/>
  <c r="C205" i="2"/>
  <c r="E205" i="2" s="1"/>
  <c r="E204" i="2"/>
  <c r="D204" i="2"/>
  <c r="C204" i="2"/>
  <c r="D203" i="2"/>
  <c r="E203" i="2" s="1"/>
  <c r="C203" i="2"/>
  <c r="D202" i="2"/>
  <c r="E202" i="2" s="1"/>
  <c r="C202" i="2"/>
  <c r="D201" i="2"/>
  <c r="C201" i="2"/>
  <c r="E201" i="2" s="1"/>
  <c r="E200" i="2"/>
  <c r="D200" i="2"/>
  <c r="C200" i="2"/>
  <c r="D199" i="2"/>
  <c r="E199" i="2" s="1"/>
  <c r="C199" i="2"/>
  <c r="D198" i="2"/>
  <c r="C198" i="2"/>
  <c r="E189" i="2"/>
  <c r="C188" i="2"/>
  <c r="E188" i="2" s="1"/>
  <c r="A170" i="2"/>
  <c r="A179" i="2" s="1"/>
  <c r="A188" i="2" s="1"/>
  <c r="D169" i="2"/>
  <c r="E169" i="2" s="1"/>
  <c r="A169" i="2"/>
  <c r="A178" i="2" s="1"/>
  <c r="A187" i="2" s="1"/>
  <c r="D168" i="2"/>
  <c r="A168" i="2"/>
  <c r="A177" i="2" s="1"/>
  <c r="A186" i="2" s="1"/>
  <c r="A167" i="2"/>
  <c r="A176" i="2" s="1"/>
  <c r="A185" i="2" s="1"/>
  <c r="D166" i="2"/>
  <c r="A166" i="2"/>
  <c r="A175" i="2" s="1"/>
  <c r="A184" i="2" s="1"/>
  <c r="E159" i="2"/>
  <c r="C158" i="2"/>
  <c r="D154" i="2"/>
  <c r="E154" i="2" s="1"/>
  <c r="E151" i="2"/>
  <c r="E147" i="2"/>
  <c r="C146" i="2"/>
  <c r="C169" i="2" s="1"/>
  <c r="E142" i="2"/>
  <c r="D142" i="2"/>
  <c r="E139" i="2"/>
  <c r="E143" i="2" s="1"/>
  <c r="E135" i="2"/>
  <c r="C134" i="2"/>
  <c r="C168" i="2" s="1"/>
  <c r="E130" i="2"/>
  <c r="E131" i="2" s="1"/>
  <c r="D130" i="2"/>
  <c r="E127" i="2"/>
  <c r="E123" i="2"/>
  <c r="C122" i="2"/>
  <c r="C167" i="2" s="1"/>
  <c r="E117" i="2"/>
  <c r="E113" i="2"/>
  <c r="C112" i="2"/>
  <c r="E109" i="2"/>
  <c r="D108" i="2"/>
  <c r="E108" i="2" s="1"/>
  <c r="E107" i="2"/>
  <c r="A98" i="2"/>
  <c r="E97" i="2"/>
  <c r="A97" i="2"/>
  <c r="E96" i="2"/>
  <c r="A96" i="2"/>
  <c r="A95" i="2"/>
  <c r="A94" i="2"/>
  <c r="E93" i="2"/>
  <c r="A93" i="2"/>
  <c r="A92" i="2"/>
  <c r="E88" i="2"/>
  <c r="C266" i="2" s="1"/>
  <c r="A88" i="2"/>
  <c r="A87" i="2"/>
  <c r="E86" i="2"/>
  <c r="C177" i="2" s="1"/>
  <c r="E177" i="2" s="1"/>
  <c r="A86" i="2"/>
  <c r="E85" i="2"/>
  <c r="A85" i="2"/>
  <c r="E84" i="2"/>
  <c r="A84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E60" i="2"/>
  <c r="A60" i="2"/>
  <c r="A59" i="2"/>
  <c r="A58" i="2"/>
  <c r="A57" i="2"/>
  <c r="A56" i="2"/>
  <c r="E52" i="2"/>
  <c r="A52" i="2"/>
  <c r="A51" i="2"/>
  <c r="E50" i="2"/>
  <c r="A50" i="2"/>
  <c r="A49" i="2"/>
  <c r="A48" i="2"/>
  <c r="A44" i="2"/>
  <c r="A43" i="2"/>
  <c r="E42" i="2"/>
  <c r="A42" i="2"/>
  <c r="A41" i="2"/>
  <c r="A40" i="2"/>
  <c r="A37" i="2"/>
  <c r="A36" i="2"/>
  <c r="A35" i="2"/>
  <c r="E34" i="2"/>
  <c r="A34" i="2"/>
  <c r="A33" i="2"/>
  <c r="E32" i="2"/>
  <c r="A32" i="2"/>
  <c r="A31" i="2"/>
  <c r="A30" i="2"/>
  <c r="A27" i="2"/>
  <c r="A26" i="2"/>
  <c r="A25" i="2"/>
  <c r="A24" i="2"/>
  <c r="A23" i="2"/>
  <c r="A22" i="2"/>
  <c r="A21" i="2"/>
  <c r="A20" i="2"/>
  <c r="A19" i="2"/>
  <c r="A18" i="2"/>
  <c r="A17" i="2"/>
  <c r="A16" i="2"/>
  <c r="E232" i="1"/>
  <c r="F232" i="1" s="1"/>
  <c r="G232" i="1" s="1"/>
  <c r="D232" i="1"/>
  <c r="C232" i="1"/>
  <c r="G217" i="1"/>
  <c r="F217" i="1"/>
  <c r="E217" i="1"/>
  <c r="D217" i="1"/>
  <c r="C217" i="1"/>
  <c r="H191" i="1"/>
  <c r="G191" i="1"/>
  <c r="D191" i="1"/>
  <c r="G190" i="1"/>
  <c r="H190" i="1" s="1"/>
  <c r="D190" i="1"/>
  <c r="G189" i="1"/>
  <c r="D189" i="1"/>
  <c r="H189" i="1" s="1"/>
  <c r="G188" i="1"/>
  <c r="D188" i="1"/>
  <c r="H188" i="1" s="1"/>
  <c r="H187" i="1"/>
  <c r="G187" i="1"/>
  <c r="D187" i="1"/>
  <c r="G186" i="1"/>
  <c r="H186" i="1" s="1"/>
  <c r="D186" i="1"/>
  <c r="G185" i="1"/>
  <c r="D185" i="1"/>
  <c r="H185" i="1" s="1"/>
  <c r="G184" i="1"/>
  <c r="D184" i="1"/>
  <c r="H184" i="1" s="1"/>
  <c r="H183" i="1"/>
  <c r="G183" i="1"/>
  <c r="D183" i="1"/>
  <c r="G182" i="1"/>
  <c r="H182" i="1" s="1"/>
  <c r="D182" i="1"/>
  <c r="G181" i="1"/>
  <c r="D181" i="1"/>
  <c r="H181" i="1" s="1"/>
  <c r="G180" i="1"/>
  <c r="D180" i="1"/>
  <c r="H180" i="1" s="1"/>
  <c r="K172" i="1"/>
  <c r="I172" i="1"/>
  <c r="G172" i="1"/>
  <c r="D172" i="1"/>
  <c r="L172" i="1" s="1"/>
  <c r="K171" i="1"/>
  <c r="I171" i="1"/>
  <c r="G171" i="1"/>
  <c r="D171" i="1"/>
  <c r="L171" i="1" s="1"/>
  <c r="K170" i="1"/>
  <c r="I170" i="1"/>
  <c r="G170" i="1"/>
  <c r="D170" i="1"/>
  <c r="L170" i="1" s="1"/>
  <c r="K169" i="1"/>
  <c r="I169" i="1"/>
  <c r="G169" i="1"/>
  <c r="D169" i="1"/>
  <c r="L169" i="1" s="1"/>
  <c r="L168" i="1"/>
  <c r="K168" i="1"/>
  <c r="I168" i="1"/>
  <c r="G168" i="1"/>
  <c r="D168" i="1"/>
  <c r="K167" i="1"/>
  <c r="I167" i="1"/>
  <c r="G167" i="1"/>
  <c r="D167" i="1"/>
  <c r="L167" i="1" s="1"/>
  <c r="K166" i="1"/>
  <c r="I166" i="1"/>
  <c r="G166" i="1"/>
  <c r="D166" i="1"/>
  <c r="L166" i="1" s="1"/>
  <c r="K165" i="1"/>
  <c r="I165" i="1"/>
  <c r="G165" i="1"/>
  <c r="D165" i="1"/>
  <c r="L165" i="1" s="1"/>
  <c r="K164" i="1"/>
  <c r="I164" i="1"/>
  <c r="G164" i="1"/>
  <c r="D164" i="1"/>
  <c r="L164" i="1" s="1"/>
  <c r="H157" i="1"/>
  <c r="I157" i="1" s="1"/>
  <c r="C216" i="5" s="1"/>
  <c r="E216" i="5" s="1"/>
  <c r="G156" i="1"/>
  <c r="D156" i="1"/>
  <c r="H156" i="1" s="1"/>
  <c r="G155" i="1"/>
  <c r="D155" i="1"/>
  <c r="H155" i="1" s="1"/>
  <c r="G154" i="1"/>
  <c r="H154" i="1" s="1"/>
  <c r="D154" i="1"/>
  <c r="H153" i="1"/>
  <c r="G153" i="1"/>
  <c r="D153" i="1"/>
  <c r="G152" i="1"/>
  <c r="D152" i="1"/>
  <c r="H152" i="1" s="1"/>
  <c r="G151" i="1"/>
  <c r="D151" i="1"/>
  <c r="H151" i="1" s="1"/>
  <c r="G150" i="1"/>
  <c r="H150" i="1" s="1"/>
  <c r="D150" i="1"/>
  <c r="H149" i="1"/>
  <c r="G149" i="1"/>
  <c r="D149" i="1"/>
  <c r="G148" i="1"/>
  <c r="D148" i="1"/>
  <c r="H148" i="1" s="1"/>
  <c r="G147" i="1"/>
  <c r="D147" i="1"/>
  <c r="H147" i="1" s="1"/>
  <c r="G146" i="1"/>
  <c r="H146" i="1" s="1"/>
  <c r="D146" i="1"/>
  <c r="H145" i="1"/>
  <c r="G145" i="1"/>
  <c r="D145" i="1"/>
  <c r="I138" i="1"/>
  <c r="G138" i="1"/>
  <c r="D138" i="1"/>
  <c r="J138" i="1" s="1"/>
  <c r="I137" i="1"/>
  <c r="G137" i="1"/>
  <c r="D137" i="1"/>
  <c r="J137" i="1" s="1"/>
  <c r="I136" i="1"/>
  <c r="G136" i="1"/>
  <c r="D136" i="1"/>
  <c r="J136" i="1" s="1"/>
  <c r="I135" i="1"/>
  <c r="G135" i="1"/>
  <c r="D135" i="1"/>
  <c r="J135" i="1" s="1"/>
  <c r="I134" i="1"/>
  <c r="G134" i="1"/>
  <c r="D134" i="1"/>
  <c r="J134" i="1" s="1"/>
  <c r="I133" i="1"/>
  <c r="G133" i="1"/>
  <c r="D133" i="1"/>
  <c r="J133" i="1" s="1"/>
  <c r="I132" i="1"/>
  <c r="G132" i="1"/>
  <c r="D132" i="1"/>
  <c r="J132" i="1" s="1"/>
  <c r="I131" i="1"/>
  <c r="G131" i="1"/>
  <c r="D131" i="1"/>
  <c r="J131" i="1" s="1"/>
  <c r="I130" i="1"/>
  <c r="G130" i="1"/>
  <c r="D130" i="1"/>
  <c r="J130" i="1" s="1"/>
  <c r="I129" i="1"/>
  <c r="G129" i="1"/>
  <c r="D129" i="1"/>
  <c r="J129" i="1" s="1"/>
  <c r="I128" i="1"/>
  <c r="G128" i="1"/>
  <c r="D128" i="1"/>
  <c r="J128" i="1" s="1"/>
  <c r="I127" i="1"/>
  <c r="G127" i="1"/>
  <c r="D127" i="1"/>
  <c r="J127" i="1" s="1"/>
  <c r="O120" i="1"/>
  <c r="P120" i="1" s="1"/>
  <c r="C734" i="2" s="1"/>
  <c r="E734" i="2" s="1"/>
  <c r="O119" i="1"/>
  <c r="P119" i="1" s="1"/>
  <c r="C733" i="2" s="1"/>
  <c r="E733" i="2" s="1"/>
  <c r="N118" i="1"/>
  <c r="K118" i="1"/>
  <c r="I118" i="1"/>
  <c r="G118" i="1"/>
  <c r="D118" i="1"/>
  <c r="O118" i="1" s="1"/>
  <c r="N117" i="1"/>
  <c r="K117" i="1"/>
  <c r="I117" i="1"/>
  <c r="G117" i="1"/>
  <c r="D117" i="1"/>
  <c r="O117" i="1" s="1"/>
  <c r="N116" i="1"/>
  <c r="K116" i="1"/>
  <c r="I116" i="1"/>
  <c r="G116" i="1"/>
  <c r="D116" i="1"/>
  <c r="O116" i="1" s="1"/>
  <c r="N115" i="1"/>
  <c r="K115" i="1"/>
  <c r="I115" i="1"/>
  <c r="G115" i="1"/>
  <c r="D115" i="1"/>
  <c r="O115" i="1" s="1"/>
  <c r="N114" i="1"/>
  <c r="K114" i="1"/>
  <c r="I114" i="1"/>
  <c r="G114" i="1"/>
  <c r="D114" i="1"/>
  <c r="O114" i="1" s="1"/>
  <c r="N113" i="1"/>
  <c r="K113" i="1"/>
  <c r="I113" i="1"/>
  <c r="G113" i="1"/>
  <c r="D113" i="1"/>
  <c r="O113" i="1" s="1"/>
  <c r="N112" i="1"/>
  <c r="K112" i="1"/>
  <c r="I112" i="1"/>
  <c r="G112" i="1"/>
  <c r="D112" i="1"/>
  <c r="O112" i="1" s="1"/>
  <c r="N111" i="1"/>
  <c r="K111" i="1"/>
  <c r="I111" i="1"/>
  <c r="G111" i="1"/>
  <c r="D111" i="1"/>
  <c r="O111" i="1" s="1"/>
  <c r="N110" i="1"/>
  <c r="K110" i="1"/>
  <c r="I110" i="1"/>
  <c r="G110" i="1"/>
  <c r="D110" i="1"/>
  <c r="O110" i="1" s="1"/>
  <c r="N109" i="1"/>
  <c r="K109" i="1"/>
  <c r="I109" i="1"/>
  <c r="G109" i="1"/>
  <c r="D109" i="1"/>
  <c r="O109" i="1" s="1"/>
  <c r="N108" i="1"/>
  <c r="K108" i="1"/>
  <c r="I108" i="1"/>
  <c r="G108" i="1"/>
  <c r="D108" i="1"/>
  <c r="O108" i="1" s="1"/>
  <c r="N107" i="1"/>
  <c r="K107" i="1"/>
  <c r="I107" i="1"/>
  <c r="G107" i="1"/>
  <c r="D107" i="1"/>
  <c r="O107" i="1" s="1"/>
  <c r="N106" i="1"/>
  <c r="K106" i="1"/>
  <c r="I106" i="1"/>
  <c r="G106" i="1"/>
  <c r="D106" i="1"/>
  <c r="O106" i="1" s="1"/>
  <c r="H94" i="1"/>
  <c r="C215" i="5" s="1"/>
  <c r="E215" i="5" s="1"/>
  <c r="H93" i="1"/>
  <c r="C214" i="5" s="1"/>
  <c r="E214" i="5" s="1"/>
  <c r="H92" i="1"/>
  <c r="C213" i="5" s="1"/>
  <c r="E213" i="5" s="1"/>
  <c r="H91" i="1"/>
  <c r="C212" i="5" s="1"/>
  <c r="E212" i="5" s="1"/>
  <c r="F217" i="5" s="1"/>
  <c r="F219" i="5" s="1"/>
  <c r="E33" i="5" s="1"/>
  <c r="H90" i="1"/>
  <c r="C264" i="3" s="1"/>
  <c r="E264" i="3" s="1"/>
  <c r="H89" i="1"/>
  <c r="C263" i="3" s="1"/>
  <c r="E263" i="3" s="1"/>
  <c r="H88" i="1"/>
  <c r="C262" i="3" s="1"/>
  <c r="E262" i="3" s="1"/>
  <c r="H87" i="1"/>
  <c r="C261" i="3" s="1"/>
  <c r="E261" i="3" s="1"/>
  <c r="F265" i="3" s="1"/>
  <c r="F267" i="3" s="1"/>
  <c r="E35" i="3" s="1"/>
  <c r="H86" i="1"/>
  <c r="C732" i="2" s="1"/>
  <c r="E732" i="2" s="1"/>
  <c r="H85" i="1"/>
  <c r="C731" i="2" s="1"/>
  <c r="E731" i="2" s="1"/>
  <c r="H84" i="1"/>
  <c r="C730" i="2" s="1"/>
  <c r="E730" i="2" s="1"/>
  <c r="H83" i="1"/>
  <c r="C729" i="2" s="1"/>
  <c r="E729" i="2" s="1"/>
  <c r="X72" i="1"/>
  <c r="Y72" i="1" s="1"/>
  <c r="B287" i="6" s="1"/>
  <c r="C290" i="6" s="1"/>
  <c r="C291" i="6" s="1"/>
  <c r="E291" i="6" s="1"/>
  <c r="F292" i="6" s="1"/>
  <c r="E37" i="6" s="1"/>
  <c r="W72" i="1"/>
  <c r="W71" i="1"/>
  <c r="X71" i="1" s="1"/>
  <c r="Y71" i="1" s="1"/>
  <c r="B231" i="6" s="1"/>
  <c r="C234" i="6" s="1"/>
  <c r="C235" i="6" s="1"/>
  <c r="E235" i="6" s="1"/>
  <c r="F236" i="6" s="1"/>
  <c r="E30" i="6" s="1"/>
  <c r="X70" i="1"/>
  <c r="Y70" i="1" s="1"/>
  <c r="B172" i="5" s="1"/>
  <c r="C175" i="5" s="1"/>
  <c r="C176" i="5" s="1"/>
  <c r="E176" i="5" s="1"/>
  <c r="F177" i="5" s="1"/>
  <c r="E28" i="5" s="1"/>
  <c r="W70" i="1"/>
  <c r="W69" i="1"/>
  <c r="X69" i="1" s="1"/>
  <c r="Y69" i="1" s="1"/>
  <c r="X68" i="1"/>
  <c r="Y68" i="1" s="1"/>
  <c r="B181" i="4" s="1"/>
  <c r="C184" i="4" s="1"/>
  <c r="C185" i="4" s="1"/>
  <c r="E185" i="4" s="1"/>
  <c r="F186" i="4" s="1"/>
  <c r="E28" i="4" s="1"/>
  <c r="W68" i="1"/>
  <c r="S67" i="1"/>
  <c r="R67" i="1"/>
  <c r="Q67" i="1"/>
  <c r="P67" i="1"/>
  <c r="W66" i="1"/>
  <c r="X66" i="1" s="1"/>
  <c r="Y66" i="1" s="1"/>
  <c r="B215" i="3" s="1"/>
  <c r="C218" i="3" s="1"/>
  <c r="C219" i="3" s="1"/>
  <c r="E219" i="3" s="1"/>
  <c r="F220" i="3" s="1"/>
  <c r="E29" i="3" s="1"/>
  <c r="S65" i="1"/>
  <c r="R65" i="1"/>
  <c r="Q65" i="1"/>
  <c r="P65" i="1"/>
  <c r="X64" i="1"/>
  <c r="Y64" i="1" s="1"/>
  <c r="B551" i="2" s="1"/>
  <c r="C554" i="2" s="1"/>
  <c r="C555" i="2" s="1"/>
  <c r="E555" i="2" s="1"/>
  <c r="F556" i="2" s="1"/>
  <c r="W64" i="1"/>
  <c r="S63" i="1"/>
  <c r="R63" i="1"/>
  <c r="Q63" i="1"/>
  <c r="P63" i="1"/>
  <c r="W62" i="1"/>
  <c r="X62" i="1" s="1"/>
  <c r="Y62" i="1" s="1"/>
  <c r="B468" i="2" s="1"/>
  <c r="C471" i="2" s="1"/>
  <c r="C472" i="2" s="1"/>
  <c r="E472" i="2" s="1"/>
  <c r="F473" i="2" s="1"/>
  <c r="E49" i="2" s="1"/>
  <c r="X61" i="1"/>
  <c r="Y61" i="1" s="1"/>
  <c r="B716" i="2" s="1"/>
  <c r="C719" i="2" s="1"/>
  <c r="C720" i="2" s="1"/>
  <c r="E720" i="2" s="1"/>
  <c r="F721" i="2" s="1"/>
  <c r="E76" i="2" s="1"/>
  <c r="W61" i="1"/>
  <c r="W60" i="1"/>
  <c r="X60" i="1" s="1"/>
  <c r="Y60" i="1" s="1"/>
  <c r="B683" i="2" s="1"/>
  <c r="C686" i="2" s="1"/>
  <c r="C687" i="2" s="1"/>
  <c r="E687" i="2" s="1"/>
  <c r="F688" i="2" s="1"/>
  <c r="E72" i="2" s="1"/>
  <c r="X59" i="1"/>
  <c r="Y59" i="1" s="1"/>
  <c r="B624" i="2" s="1"/>
  <c r="C627" i="2" s="1"/>
  <c r="C628" i="2" s="1"/>
  <c r="E628" i="2" s="1"/>
  <c r="F629" i="2" s="1"/>
  <c r="E65" i="2" s="1"/>
  <c r="W59" i="1"/>
  <c r="W58" i="1"/>
  <c r="X58" i="1" s="1"/>
  <c r="Y58" i="1" s="1"/>
  <c r="B385" i="2" s="1"/>
  <c r="C388" i="2" s="1"/>
  <c r="C389" i="2" s="1"/>
  <c r="E389" i="2" s="1"/>
  <c r="F390" i="2" s="1"/>
  <c r="E41" i="2" s="1"/>
  <c r="X57" i="1"/>
  <c r="Y57" i="1" s="1"/>
  <c r="B308" i="2" s="1"/>
  <c r="C311" i="2" s="1"/>
  <c r="C312" i="2" s="1"/>
  <c r="E312" i="2" s="1"/>
  <c r="F313" i="2" s="1"/>
  <c r="E31" i="2" s="1"/>
  <c r="W57" i="1"/>
  <c r="G28" i="1"/>
  <c r="G27" i="1"/>
  <c r="G26" i="1"/>
  <c r="G25" i="1"/>
  <c r="G24" i="1"/>
  <c r="G23" i="1"/>
  <c r="G22" i="1"/>
  <c r="G21" i="1"/>
  <c r="G20" i="1"/>
  <c r="G19" i="1"/>
  <c r="E58" i="2" l="1"/>
  <c r="E57" i="2"/>
  <c r="D132" i="2"/>
  <c r="E87" i="3"/>
  <c r="D110" i="2"/>
  <c r="D170" i="2"/>
  <c r="E155" i="2"/>
  <c r="C358" i="2"/>
  <c r="C367" i="2"/>
  <c r="C368" i="2" s="1"/>
  <c r="D369" i="2" s="1"/>
  <c r="E369" i="2" s="1"/>
  <c r="E370" i="2" s="1"/>
  <c r="D371" i="2" s="1"/>
  <c r="E371" i="2" s="1"/>
  <c r="F372" i="2" s="1"/>
  <c r="E39" i="2" s="1"/>
  <c r="C674" i="2"/>
  <c r="C675" i="2" s="1"/>
  <c r="D676" i="2" s="1"/>
  <c r="E676" i="2" s="1"/>
  <c r="E677" i="2" s="1"/>
  <c r="D678" i="2" s="1"/>
  <c r="C665" i="2"/>
  <c r="C664" i="2"/>
  <c r="E664" i="2" s="1"/>
  <c r="D665" i="2"/>
  <c r="E665" i="2" s="1"/>
  <c r="E666" i="2" s="1"/>
  <c r="D667" i="2" s="1"/>
  <c r="E667" i="2" s="1"/>
  <c r="F668" i="2" s="1"/>
  <c r="E70" i="2" s="1"/>
  <c r="D84" i="3"/>
  <c r="E84" i="3" s="1"/>
  <c r="D118" i="2"/>
  <c r="E118" i="2" s="1"/>
  <c r="E119" i="2" s="1"/>
  <c r="D167" i="2"/>
  <c r="E167" i="2" s="1"/>
  <c r="E168" i="2"/>
  <c r="C179" i="2"/>
  <c r="E179" i="2" s="1"/>
  <c r="E206" i="2"/>
  <c r="C357" i="2"/>
  <c r="E357" i="2" s="1"/>
  <c r="D358" i="2" s="1"/>
  <c r="E358" i="2" s="1"/>
  <c r="E359" i="2" s="1"/>
  <c r="D360" i="2" s="1"/>
  <c r="E360" i="2" s="1"/>
  <c r="F361" i="2" s="1"/>
  <c r="C544" i="2"/>
  <c r="E544" i="2" s="1"/>
  <c r="C543" i="2"/>
  <c r="E543" i="2" s="1"/>
  <c r="E95" i="2"/>
  <c r="C537" i="2"/>
  <c r="C211" i="2"/>
  <c r="C184" i="2"/>
  <c r="E184" i="2" s="1"/>
  <c r="C239" i="2"/>
  <c r="E239" i="2" s="1"/>
  <c r="F240" i="2" s="1"/>
  <c r="C186" i="2"/>
  <c r="E186" i="2" s="1"/>
  <c r="C166" i="2"/>
  <c r="E166" i="2" s="1"/>
  <c r="C175" i="2"/>
  <c r="E175" i="2" s="1"/>
  <c r="C326" i="2"/>
  <c r="E700" i="2"/>
  <c r="F701" i="2" s="1"/>
  <c r="E74" i="2" s="1"/>
  <c r="E98" i="2"/>
  <c r="F735" i="2"/>
  <c r="F737" i="2" s="1"/>
  <c r="E77" i="2" s="1"/>
  <c r="D243" i="3"/>
  <c r="E243" i="3" s="1"/>
  <c r="F243" i="3" s="1"/>
  <c r="E33" i="3" s="1"/>
  <c r="D336" i="2"/>
  <c r="E336" i="2" s="1"/>
  <c r="F336" i="2" s="1"/>
  <c r="E35" i="2" s="1"/>
  <c r="D144" i="2"/>
  <c r="E262" i="2"/>
  <c r="D266" i="2" s="1"/>
  <c r="E266" i="2" s="1"/>
  <c r="F267" i="2" s="1"/>
  <c r="C227" i="2"/>
  <c r="C185" i="2"/>
  <c r="E185" i="2" s="1"/>
  <c r="C176" i="2"/>
  <c r="E176" i="2" s="1"/>
  <c r="E87" i="2"/>
  <c r="C170" i="2"/>
  <c r="E170" i="2" s="1"/>
  <c r="E198" i="2"/>
  <c r="D211" i="2" s="1"/>
  <c r="C301" i="2"/>
  <c r="E301" i="2" s="1"/>
  <c r="C299" i="2"/>
  <c r="E92" i="2"/>
  <c r="C300" i="2"/>
  <c r="E300" i="2" s="1"/>
  <c r="D325" i="2"/>
  <c r="E325" i="2" s="1"/>
  <c r="D326" i="2" s="1"/>
  <c r="D341" i="2"/>
  <c r="E341" i="2" s="1"/>
  <c r="E343" i="2" s="1"/>
  <c r="F344" i="2" s="1"/>
  <c r="F346" i="2" s="1"/>
  <c r="E36" i="2" s="1"/>
  <c r="E340" i="2"/>
  <c r="C378" i="2"/>
  <c r="E378" i="2" s="1"/>
  <c r="C376" i="2"/>
  <c r="D413" i="2"/>
  <c r="E413" i="2" s="1"/>
  <c r="E415" i="2" s="1"/>
  <c r="F416" i="2" s="1"/>
  <c r="F418" i="2" s="1"/>
  <c r="E44" i="2" s="1"/>
  <c r="E412" i="2"/>
  <c r="E486" i="2"/>
  <c r="C533" i="2"/>
  <c r="C534" i="2" s="1"/>
  <c r="D535" i="2" s="1"/>
  <c r="E535" i="2" s="1"/>
  <c r="D519" i="2"/>
  <c r="C519" i="2"/>
  <c r="D596" i="2"/>
  <c r="E596" i="2" s="1"/>
  <c r="D597" i="2" s="1"/>
  <c r="E597" i="2" s="1"/>
  <c r="E598" i="2" s="1"/>
  <c r="D599" i="2" s="1"/>
  <c r="E599" i="2" s="1"/>
  <c r="F600" i="2" s="1"/>
  <c r="E62" i="2" s="1"/>
  <c r="E642" i="2"/>
  <c r="F643" i="2" s="1"/>
  <c r="E67" i="2" s="1"/>
  <c r="C698" i="2"/>
  <c r="C697" i="2"/>
  <c r="E697" i="2" s="1"/>
  <c r="D698" i="2" s="1"/>
  <c r="E698" i="2" s="1"/>
  <c r="E699" i="2" s="1"/>
  <c r="D700" i="2" s="1"/>
  <c r="E144" i="3"/>
  <c r="C290" i="2"/>
  <c r="C280" i="2"/>
  <c r="D407" i="2"/>
  <c r="E407" i="2" s="1"/>
  <c r="D408" i="2" s="1"/>
  <c r="E408" i="2" s="1"/>
  <c r="E448" i="2"/>
  <c r="D560" i="2"/>
  <c r="E560" i="2" s="1"/>
  <c r="F561" i="2" s="1"/>
  <c r="E510" i="2"/>
  <c r="D513" i="2" s="1"/>
  <c r="E513" i="2" s="1"/>
  <c r="D514" i="2" s="1"/>
  <c r="E514" i="2" s="1"/>
  <c r="D526" i="2"/>
  <c r="E526" i="2" s="1"/>
  <c r="C678" i="2"/>
  <c r="C163" i="4"/>
  <c r="C81" i="4"/>
  <c r="E81" i="4" s="1"/>
  <c r="E38" i="4"/>
  <c r="C174" i="4"/>
  <c r="E174" i="4" s="1"/>
  <c r="C172" i="4"/>
  <c r="C173" i="4"/>
  <c r="E173" i="4" s="1"/>
  <c r="C167" i="4"/>
  <c r="E43" i="4"/>
  <c r="E44" i="4" s="1"/>
  <c r="E221" i="2"/>
  <c r="D227" i="2" s="1"/>
  <c r="D443" i="2"/>
  <c r="E443" i="2" s="1"/>
  <c r="E427" i="2"/>
  <c r="C454" i="2"/>
  <c r="D491" i="2"/>
  <c r="E491" i="2" s="1"/>
  <c r="D492" i="2" s="1"/>
  <c r="E492" i="2" s="1"/>
  <c r="D648" i="2"/>
  <c r="E648" i="2" s="1"/>
  <c r="E650" i="2" s="1"/>
  <c r="F651" i="2" s="1"/>
  <c r="F653" i="2" s="1"/>
  <c r="E68" i="2" s="1"/>
  <c r="E647" i="2"/>
  <c r="D151" i="3"/>
  <c r="D402" i="2"/>
  <c r="E402" i="2" s="1"/>
  <c r="D403" i="2" s="1"/>
  <c r="E403" i="2" s="1"/>
  <c r="C435" i="2"/>
  <c r="E435" i="2" s="1"/>
  <c r="D436" i="2" s="1"/>
  <c r="E436" i="2" s="1"/>
  <c r="C461" i="2"/>
  <c r="E461" i="2" s="1"/>
  <c r="C459" i="2"/>
  <c r="E459" i="2" s="1"/>
  <c r="E94" i="2"/>
  <c r="C575" i="2"/>
  <c r="E575" i="2" s="1"/>
  <c r="C569" i="2"/>
  <c r="E569" i="2" s="1"/>
  <c r="F576" i="2" s="1"/>
  <c r="E59" i="2" s="1"/>
  <c r="D618" i="2"/>
  <c r="E618" i="2" s="1"/>
  <c r="F619" i="2" s="1"/>
  <c r="E64" i="2" s="1"/>
  <c r="E633" i="2"/>
  <c r="F634" i="2" s="1"/>
  <c r="E66" i="2" s="1"/>
  <c r="E70" i="3"/>
  <c r="D82" i="4"/>
  <c r="E82" i="4"/>
  <c r="D149" i="4"/>
  <c r="E149" i="4" s="1"/>
  <c r="C148" i="4"/>
  <c r="E148" i="4" s="1"/>
  <c r="C149" i="4"/>
  <c r="C164" i="4"/>
  <c r="D165" i="4" s="1"/>
  <c r="E165" i="4" s="1"/>
  <c r="C165" i="5"/>
  <c r="E165" i="5" s="1"/>
  <c r="C164" i="5"/>
  <c r="E164" i="5" s="1"/>
  <c r="E45" i="5"/>
  <c r="E46" i="5" s="1"/>
  <c r="C163" i="5"/>
  <c r="E163" i="5" s="1"/>
  <c r="D166" i="5" s="1"/>
  <c r="E166" i="5" s="1"/>
  <c r="F167" i="5" s="1"/>
  <c r="E27" i="5" s="1"/>
  <c r="C158" i="5"/>
  <c r="D205" i="4"/>
  <c r="E205" i="4" s="1"/>
  <c r="E207" i="4" s="1"/>
  <c r="F208" i="4" s="1"/>
  <c r="F210" i="4" s="1"/>
  <c r="E31" i="4" s="1"/>
  <c r="E204" i="4"/>
  <c r="C79" i="5"/>
  <c r="E79" i="5" s="1"/>
  <c r="E41" i="5"/>
  <c r="E104" i="5"/>
  <c r="D113" i="5" s="1"/>
  <c r="D280" i="2"/>
  <c r="D542" i="2"/>
  <c r="E542" i="2" s="1"/>
  <c r="D545" i="2" s="1"/>
  <c r="E545" i="2" s="1"/>
  <c r="F546" i="2" s="1"/>
  <c r="E56" i="2" s="1"/>
  <c r="C597" i="2"/>
  <c r="C610" i="2"/>
  <c r="E43" i="3"/>
  <c r="C98" i="3"/>
  <c r="E98" i="3" s="1"/>
  <c r="D135" i="3"/>
  <c r="E125" i="3"/>
  <c r="E133" i="3"/>
  <c r="C180" i="3"/>
  <c r="E108" i="4"/>
  <c r="E111" i="4"/>
  <c r="D116" i="4" s="1"/>
  <c r="E123" i="4"/>
  <c r="D129" i="4" s="1"/>
  <c r="E129" i="4" s="1"/>
  <c r="F130" i="4" s="1"/>
  <c r="E128" i="4"/>
  <c r="D78" i="5"/>
  <c r="E78" i="5" s="1"/>
  <c r="F80" i="5" s="1"/>
  <c r="E19" i="5" s="1"/>
  <c r="E202" i="5"/>
  <c r="F203" i="5" s="1"/>
  <c r="F205" i="5" s="1"/>
  <c r="D299" i="2"/>
  <c r="D376" i="2"/>
  <c r="C514" i="2"/>
  <c r="C111" i="3"/>
  <c r="E111" i="3" s="1"/>
  <c r="C135" i="3"/>
  <c r="E135" i="3" s="1"/>
  <c r="F136" i="3" s="1"/>
  <c r="E45" i="3"/>
  <c r="D60" i="3"/>
  <c r="E60" i="3" s="1"/>
  <c r="E61" i="3" s="1"/>
  <c r="E97" i="3"/>
  <c r="F100" i="3" s="1"/>
  <c r="E20" i="3" s="1"/>
  <c r="E159" i="3"/>
  <c r="D163" i="3" s="1"/>
  <c r="E163" i="3" s="1"/>
  <c r="F164" i="3" s="1"/>
  <c r="E162" i="3"/>
  <c r="C177" i="3"/>
  <c r="E195" i="3"/>
  <c r="E224" i="3"/>
  <c r="F225" i="3" s="1"/>
  <c r="E30" i="3" s="1"/>
  <c r="C67" i="4"/>
  <c r="E67" i="4" s="1"/>
  <c r="D68" i="4" s="1"/>
  <c r="E68" i="4" s="1"/>
  <c r="E53" i="4"/>
  <c r="D156" i="4"/>
  <c r="E156" i="4" s="1"/>
  <c r="E140" i="4"/>
  <c r="D55" i="5"/>
  <c r="E55" i="5" s="1"/>
  <c r="E56" i="5" s="1"/>
  <c r="D75" i="6"/>
  <c r="E75" i="6" s="1"/>
  <c r="E76" i="6" s="1"/>
  <c r="D95" i="6"/>
  <c r="E95" i="6" s="1"/>
  <c r="E96" i="6"/>
  <c r="E111" i="5"/>
  <c r="E126" i="5"/>
  <c r="D163" i="5"/>
  <c r="D144" i="5"/>
  <c r="E144" i="5" s="1"/>
  <c r="C154" i="5"/>
  <c r="C155" i="5" s="1"/>
  <c r="D156" i="5" s="1"/>
  <c r="E156" i="5" s="1"/>
  <c r="E157" i="5" s="1"/>
  <c r="D158" i="5" s="1"/>
  <c r="E305" i="6"/>
  <c r="F306" i="6" s="1"/>
  <c r="E39" i="6" s="1"/>
  <c r="C201" i="3"/>
  <c r="C207" i="3"/>
  <c r="E207" i="3" s="1"/>
  <c r="D198" i="4"/>
  <c r="E198" i="4" s="1"/>
  <c r="D199" i="4" s="1"/>
  <c r="E199" i="4"/>
  <c r="F200" i="4" s="1"/>
  <c r="E30" i="4" s="1"/>
  <c r="E107" i="5"/>
  <c r="E122" i="5"/>
  <c r="D129" i="5" s="1"/>
  <c r="D145" i="5"/>
  <c r="E145" i="5" s="1"/>
  <c r="E146" i="5" s="1"/>
  <c r="D147" i="5" s="1"/>
  <c r="E147" i="5" s="1"/>
  <c r="F148" i="5" s="1"/>
  <c r="E199" i="5"/>
  <c r="D281" i="6"/>
  <c r="E281" i="6" s="1"/>
  <c r="F282" i="6" s="1"/>
  <c r="E36" i="6" s="1"/>
  <c r="E174" i="3"/>
  <c r="C94" i="4"/>
  <c r="E94" i="4" s="1"/>
  <c r="C113" i="5"/>
  <c r="C90" i="5"/>
  <c r="E90" i="5" s="1"/>
  <c r="C178" i="6"/>
  <c r="E178" i="6" s="1"/>
  <c r="F179" i="6" s="1"/>
  <c r="C129" i="6"/>
  <c r="E129" i="6" s="1"/>
  <c r="C127" i="6"/>
  <c r="E127" i="6" s="1"/>
  <c r="F130" i="6" s="1"/>
  <c r="E23" i="6" s="1"/>
  <c r="C148" i="6"/>
  <c r="E148" i="6" s="1"/>
  <c r="F149" i="6" s="1"/>
  <c r="D163" i="6"/>
  <c r="D65" i="6"/>
  <c r="E65" i="6" s="1"/>
  <c r="E66" i="6" s="1"/>
  <c r="D85" i="6"/>
  <c r="E85" i="6" s="1"/>
  <c r="E86" i="6"/>
  <c r="C121" i="6"/>
  <c r="E121" i="6" s="1"/>
  <c r="F123" i="6" s="1"/>
  <c r="E22" i="6" s="1"/>
  <c r="D108" i="6"/>
  <c r="D107" i="6"/>
  <c r="D106" i="6"/>
  <c r="E106" i="6" s="1"/>
  <c r="C108" i="6"/>
  <c r="E108" i="6" s="1"/>
  <c r="D115" i="6"/>
  <c r="E115" i="6" s="1"/>
  <c r="F116" i="6" s="1"/>
  <c r="C163" i="6"/>
  <c r="E163" i="6" s="1"/>
  <c r="F164" i="6" s="1"/>
  <c r="D240" i="6"/>
  <c r="E211" i="6"/>
  <c r="E222" i="6"/>
  <c r="D225" i="6" s="1"/>
  <c r="E225" i="6" s="1"/>
  <c r="F226" i="6" s="1"/>
  <c r="E29" i="6" s="1"/>
  <c r="E249" i="6"/>
  <c r="F250" i="6" s="1"/>
  <c r="E32" i="6" s="1"/>
  <c r="D304" i="6"/>
  <c r="E304" i="6" s="1"/>
  <c r="D305" i="6" s="1"/>
  <c r="E189" i="6"/>
  <c r="F190" i="6" s="1"/>
  <c r="C107" i="6"/>
  <c r="E107" i="6" s="1"/>
  <c r="D148" i="6"/>
  <c r="D222" i="6"/>
  <c r="D203" i="6"/>
  <c r="E203" i="6" s="1"/>
  <c r="D204" i="6" s="1"/>
  <c r="E204" i="6" s="1"/>
  <c r="E205" i="6" s="1"/>
  <c r="D206" i="6" s="1"/>
  <c r="E206" i="6" s="1"/>
  <c r="F207" i="6" s="1"/>
  <c r="E240" i="6"/>
  <c r="F241" i="6" s="1"/>
  <c r="E31" i="6" s="1"/>
  <c r="D267" i="6"/>
  <c r="E267" i="6" s="1"/>
  <c r="E256" i="6"/>
  <c r="C224" i="6"/>
  <c r="E224" i="6" s="1"/>
  <c r="C27" i="8"/>
  <c r="C213" i="6"/>
  <c r="C260" i="6"/>
  <c r="C273" i="6"/>
  <c r="C204" i="6"/>
  <c r="C217" i="6"/>
  <c r="C214" i="6" l="1"/>
  <c r="D215" i="6" s="1"/>
  <c r="E215" i="6" s="1"/>
  <c r="E216" i="6" s="1"/>
  <c r="D217" i="6" s="1"/>
  <c r="D67" i="6"/>
  <c r="E25" i="5"/>
  <c r="D57" i="5"/>
  <c r="F189" i="2"/>
  <c r="E24" i="2" s="1"/>
  <c r="E38" i="2"/>
  <c r="E27" i="6"/>
  <c r="F409" i="2"/>
  <c r="E43" i="2" s="1"/>
  <c r="D120" i="2"/>
  <c r="D77" i="6"/>
  <c r="D62" i="3"/>
  <c r="E69" i="2"/>
  <c r="C33" i="8"/>
  <c r="C27" i="7" s="1"/>
  <c r="C30" i="7"/>
  <c r="C28" i="8"/>
  <c r="C269" i="6"/>
  <c r="C270" i="6" s="1"/>
  <c r="D271" i="6" s="1"/>
  <c r="E271" i="6" s="1"/>
  <c r="E272" i="6" s="1"/>
  <c r="D273" i="6" s="1"/>
  <c r="E273" i="6" s="1"/>
  <c r="F274" i="6" s="1"/>
  <c r="E35" i="6" s="1"/>
  <c r="D259" i="6"/>
  <c r="E259" i="6" s="1"/>
  <c r="D260" i="6" s="1"/>
  <c r="E260" i="6" s="1"/>
  <c r="E261" i="6" s="1"/>
  <c r="D262" i="6" s="1"/>
  <c r="E262" i="6" s="1"/>
  <c r="F263" i="6" s="1"/>
  <c r="E34" i="6" s="1"/>
  <c r="D177" i="3"/>
  <c r="D206" i="3"/>
  <c r="E206" i="3" s="1"/>
  <c r="D209" i="3" s="1"/>
  <c r="E209" i="3" s="1"/>
  <c r="F210" i="3" s="1"/>
  <c r="E28" i="3" s="1"/>
  <c r="C192" i="3"/>
  <c r="C112" i="3"/>
  <c r="E112" i="3" s="1"/>
  <c r="C151" i="3"/>
  <c r="E151" i="3" s="1"/>
  <c r="F152" i="3" s="1"/>
  <c r="F166" i="3" s="1"/>
  <c r="E23" i="3" s="1"/>
  <c r="C105" i="3"/>
  <c r="E105" i="3" s="1"/>
  <c r="F107" i="3" s="1"/>
  <c r="E21" i="3" s="1"/>
  <c r="D71" i="3"/>
  <c r="E71" i="3" s="1"/>
  <c r="D72" i="3" s="1"/>
  <c r="E72" i="3" s="1"/>
  <c r="C445" i="2"/>
  <c r="C446" i="2" s="1"/>
  <c r="D447" i="2" s="1"/>
  <c r="E447" i="2" s="1"/>
  <c r="E453" i="2" s="1"/>
  <c r="D454" i="2" s="1"/>
  <c r="D430" i="2"/>
  <c r="E430" i="2" s="1"/>
  <c r="D431" i="2" s="1"/>
  <c r="E431" i="2" s="1"/>
  <c r="E437" i="2" s="1"/>
  <c r="D438" i="2" s="1"/>
  <c r="E438" i="2" s="1"/>
  <c r="F439" i="2" s="1"/>
  <c r="E46" i="2" s="1"/>
  <c r="F83" i="4"/>
  <c r="E19" i="4" s="1"/>
  <c r="E280" i="2"/>
  <c r="D281" i="2" s="1"/>
  <c r="E281" i="2" s="1"/>
  <c r="E282" i="2" s="1"/>
  <c r="D283" i="2" s="1"/>
  <c r="E283" i="2" s="1"/>
  <c r="F284" i="2" s="1"/>
  <c r="C707" i="2"/>
  <c r="C708" i="2" s="1"/>
  <c r="D709" i="2" s="1"/>
  <c r="E709" i="2" s="1"/>
  <c r="E710" i="2" s="1"/>
  <c r="D711" i="2" s="1"/>
  <c r="E711" i="2" s="1"/>
  <c r="F712" i="2" s="1"/>
  <c r="E75" i="2" s="1"/>
  <c r="E519" i="2"/>
  <c r="E520" i="2" s="1"/>
  <c r="D521" i="2" s="1"/>
  <c r="E521" i="2" s="1"/>
  <c r="F522" i="2" s="1"/>
  <c r="E54" i="2" s="1"/>
  <c r="C187" i="2"/>
  <c r="E187" i="2" s="1"/>
  <c r="C178" i="2"/>
  <c r="E178" i="2" s="1"/>
  <c r="C251" i="2"/>
  <c r="E251" i="2" s="1"/>
  <c r="F252" i="2" s="1"/>
  <c r="E326" i="2"/>
  <c r="F327" i="2" s="1"/>
  <c r="E33" i="2" s="1"/>
  <c r="F171" i="2"/>
  <c r="E22" i="2" s="1"/>
  <c r="E113" i="5"/>
  <c r="F114" i="5" s="1"/>
  <c r="F192" i="6"/>
  <c r="E24" i="6" s="1"/>
  <c r="D172" i="4"/>
  <c r="E172" i="4" s="1"/>
  <c r="D175" i="4" s="1"/>
  <c r="E175" i="4" s="1"/>
  <c r="F176" i="4" s="1"/>
  <c r="E27" i="4" s="1"/>
  <c r="C158" i="4"/>
  <c r="C159" i="4" s="1"/>
  <c r="D160" i="4" s="1"/>
  <c r="E160" i="4" s="1"/>
  <c r="E166" i="4" s="1"/>
  <c r="D167" i="4" s="1"/>
  <c r="E167" i="4" s="1"/>
  <c r="F168" i="4" s="1"/>
  <c r="E26" i="4" s="1"/>
  <c r="D143" i="4"/>
  <c r="E143" i="4" s="1"/>
  <c r="D144" i="4" s="1"/>
  <c r="E144" i="4" s="1"/>
  <c r="E150" i="4" s="1"/>
  <c r="D151" i="4" s="1"/>
  <c r="E151" i="4" s="1"/>
  <c r="F152" i="4" s="1"/>
  <c r="E158" i="5"/>
  <c r="F159" i="5" s="1"/>
  <c r="E26" i="5" s="1"/>
  <c r="E71" i="4"/>
  <c r="C450" i="2"/>
  <c r="C451" i="2" s="1"/>
  <c r="D452" i="2" s="1"/>
  <c r="E452" i="2" s="1"/>
  <c r="E99" i="2"/>
  <c r="C528" i="2"/>
  <c r="C529" i="2" s="1"/>
  <c r="D530" i="2" s="1"/>
  <c r="E530" i="2" s="1"/>
  <c r="E536" i="2" s="1"/>
  <c r="D537" i="2" s="1"/>
  <c r="E89" i="2"/>
  <c r="E211" i="2"/>
  <c r="F212" i="2" s="1"/>
  <c r="E217" i="6"/>
  <c r="F218" i="6" s="1"/>
  <c r="E28" i="6" s="1"/>
  <c r="E454" i="2"/>
  <c r="F455" i="2" s="1"/>
  <c r="E47" i="2" s="1"/>
  <c r="E678" i="2"/>
  <c r="F679" i="2" s="1"/>
  <c r="E71" i="2" s="1"/>
  <c r="F180" i="2"/>
  <c r="E23" i="2" s="1"/>
  <c r="D88" i="3"/>
  <c r="D183" i="3"/>
  <c r="E183" i="3" s="1"/>
  <c r="C182" i="3"/>
  <c r="E182" i="3" s="1"/>
  <c r="C183" i="3"/>
  <c r="C197" i="3"/>
  <c r="C198" i="3" s="1"/>
  <c r="D199" i="3" s="1"/>
  <c r="E199" i="3" s="1"/>
  <c r="F109" i="6"/>
  <c r="E21" i="6" s="1"/>
  <c r="D87" i="6"/>
  <c r="D97" i="6"/>
  <c r="D54" i="4"/>
  <c r="E54" i="4" s="1"/>
  <c r="E56" i="4" s="1"/>
  <c r="D55" i="4"/>
  <c r="E55" i="4" s="1"/>
  <c r="E177" i="3"/>
  <c r="D178" i="3" s="1"/>
  <c r="E178" i="3" s="1"/>
  <c r="E184" i="3" s="1"/>
  <c r="D185" i="3" s="1"/>
  <c r="E185" i="3" s="1"/>
  <c r="F186" i="3" s="1"/>
  <c r="F114" i="3"/>
  <c r="E22" i="3" s="1"/>
  <c r="C85" i="5"/>
  <c r="E85" i="5" s="1"/>
  <c r="F86" i="5" s="1"/>
  <c r="E20" i="5" s="1"/>
  <c r="C129" i="5"/>
  <c r="E129" i="5" s="1"/>
  <c r="F130" i="5" s="1"/>
  <c r="C91" i="5"/>
  <c r="E91" i="5" s="1"/>
  <c r="F92" i="5" s="1"/>
  <c r="E21" i="5" s="1"/>
  <c r="E42" i="5"/>
  <c r="D462" i="2"/>
  <c r="E462" i="2" s="1"/>
  <c r="F463" i="2" s="1"/>
  <c r="E48" i="2" s="1"/>
  <c r="C607" i="2"/>
  <c r="D608" i="2" s="1"/>
  <c r="E608" i="2" s="1"/>
  <c r="E609" i="2" s="1"/>
  <c r="D610" i="2" s="1"/>
  <c r="E610" i="2" s="1"/>
  <c r="F611" i="2" s="1"/>
  <c r="E63" i="2" s="1"/>
  <c r="E40" i="4"/>
  <c r="C93" i="4"/>
  <c r="E93" i="4" s="1"/>
  <c r="F95" i="4" s="1"/>
  <c r="E21" i="4" s="1"/>
  <c r="C116" i="4"/>
  <c r="E116" i="4" s="1"/>
  <c r="F117" i="4" s="1"/>
  <c r="F132" i="4" s="1"/>
  <c r="E22" i="4" s="1"/>
  <c r="C87" i="4"/>
  <c r="E87" i="4" s="1"/>
  <c r="F89" i="4" s="1"/>
  <c r="E20" i="4" s="1"/>
  <c r="F493" i="2"/>
  <c r="E51" i="2" s="1"/>
  <c r="E376" i="2"/>
  <c r="D379" i="2" s="1"/>
  <c r="E379" i="2" s="1"/>
  <c r="F380" i="2" s="1"/>
  <c r="E40" i="2" s="1"/>
  <c r="E299" i="2"/>
  <c r="D302" i="2" s="1"/>
  <c r="E302" i="2" s="1"/>
  <c r="F303" i="2" s="1"/>
  <c r="E30" i="2" s="1"/>
  <c r="E227" i="2"/>
  <c r="F228" i="2" s="1"/>
  <c r="E537" i="2"/>
  <c r="F538" i="2" s="1"/>
  <c r="E55" i="2" s="1"/>
  <c r="D156" i="2"/>
  <c r="D57" i="4" l="1"/>
  <c r="E53" i="2"/>
  <c r="E61" i="2"/>
  <c r="D72" i="4"/>
  <c r="E45" i="2"/>
  <c r="E33" i="6"/>
  <c r="C35" i="7"/>
  <c r="E24" i="5"/>
  <c r="F269" i="2"/>
  <c r="E25" i="2" s="1"/>
  <c r="E28" i="2"/>
  <c r="F309" i="6"/>
  <c r="E25" i="6" s="1"/>
  <c r="F207" i="5"/>
  <c r="E23" i="5" s="1"/>
  <c r="E73" i="2"/>
  <c r="C28" i="7"/>
  <c r="C29" i="7" s="1"/>
  <c r="C291" i="2"/>
  <c r="D292" i="2" s="1"/>
  <c r="E292" i="2" s="1"/>
  <c r="E293" i="2" s="1"/>
  <c r="D294" i="2" s="1"/>
  <c r="E294" i="2" s="1"/>
  <c r="F295" i="2" s="1"/>
  <c r="E29" i="2" s="1"/>
  <c r="E26" i="6"/>
  <c r="I361" i="2"/>
  <c r="E26" i="3"/>
  <c r="E25" i="4"/>
  <c r="F212" i="4"/>
  <c r="E23" i="4" s="1"/>
  <c r="F133" i="5"/>
  <c r="E22" i="5" s="1"/>
  <c r="E73" i="3"/>
  <c r="C193" i="3"/>
  <c r="D194" i="3" s="1"/>
  <c r="E194" i="3" s="1"/>
  <c r="E200" i="3" s="1"/>
  <c r="D201" i="3" s="1"/>
  <c r="E201" i="3" s="1"/>
  <c r="F202" i="3" s="1"/>
  <c r="E27" i="3" s="1"/>
  <c r="E37" i="2"/>
  <c r="D74" i="3" l="1"/>
  <c r="E24" i="4"/>
  <c r="E25" i="3"/>
  <c r="C19" i="7"/>
  <c r="C25" i="7" s="1"/>
  <c r="C34" i="7" s="1"/>
  <c r="C36" i="7" s="1"/>
  <c r="C37" i="7" s="1"/>
  <c r="F724" i="2"/>
  <c r="E26" i="2" s="1"/>
  <c r="F256" i="3"/>
  <c r="E24" i="3" s="1"/>
  <c r="C32" i="7"/>
  <c r="E27" i="2"/>
  <c r="C97" i="6" l="1"/>
  <c r="E97" i="6" s="1"/>
  <c r="E98" i="6" s="1"/>
  <c r="D99" i="6" s="1"/>
  <c r="E99" i="6" s="1"/>
  <c r="F100" i="6" s="1"/>
  <c r="E20" i="6" s="1"/>
  <c r="C77" i="6"/>
  <c r="E77" i="6" s="1"/>
  <c r="E78" i="6" s="1"/>
  <c r="D79" i="6" s="1"/>
  <c r="E79" i="6" s="1"/>
  <c r="F80" i="6" s="1"/>
  <c r="E18" i="6" s="1"/>
  <c r="C57" i="5"/>
  <c r="E57" i="5" s="1"/>
  <c r="E58" i="5" s="1"/>
  <c r="D59" i="5" s="1"/>
  <c r="E59" i="5" s="1"/>
  <c r="F60" i="5" s="1"/>
  <c r="C69" i="5"/>
  <c r="E69" i="5" s="1"/>
  <c r="E70" i="5" s="1"/>
  <c r="D71" i="5" s="1"/>
  <c r="E71" i="5" s="1"/>
  <c r="F72" i="5" s="1"/>
  <c r="E18" i="5" s="1"/>
  <c r="C72" i="4"/>
  <c r="E72" i="4" s="1"/>
  <c r="E73" i="4" s="1"/>
  <c r="D74" i="4" s="1"/>
  <c r="E74" i="4" s="1"/>
  <c r="F75" i="4" s="1"/>
  <c r="E18" i="4" s="1"/>
  <c r="C88" i="3"/>
  <c r="E88" i="3" s="1"/>
  <c r="E89" i="3" s="1"/>
  <c r="D90" i="3" s="1"/>
  <c r="E90" i="3" s="1"/>
  <c r="F91" i="3" s="1"/>
  <c r="E19" i="3" s="1"/>
  <c r="C62" i="3"/>
  <c r="E62" i="3" s="1"/>
  <c r="E63" i="3" s="1"/>
  <c r="D64" i="3" s="1"/>
  <c r="E64" i="3" s="1"/>
  <c r="F65" i="3" s="1"/>
  <c r="C87" i="6"/>
  <c r="E87" i="6" s="1"/>
  <c r="E88" i="6" s="1"/>
  <c r="D89" i="6" s="1"/>
  <c r="E89" i="6" s="1"/>
  <c r="F90" i="6" s="1"/>
  <c r="E19" i="6" s="1"/>
  <c r="C67" i="6"/>
  <c r="E67" i="6" s="1"/>
  <c r="E68" i="6" s="1"/>
  <c r="D69" i="6" s="1"/>
  <c r="E69" i="6" s="1"/>
  <c r="F70" i="6" s="1"/>
  <c r="C57" i="4"/>
  <c r="E57" i="4" s="1"/>
  <c r="E58" i="4" s="1"/>
  <c r="D59" i="4" s="1"/>
  <c r="E59" i="4" s="1"/>
  <c r="F60" i="4" s="1"/>
  <c r="C132" i="2"/>
  <c r="E132" i="2" s="1"/>
  <c r="E133" i="2" s="1"/>
  <c r="D134" i="2" s="1"/>
  <c r="E134" i="2" s="1"/>
  <c r="F135" i="2" s="1"/>
  <c r="E19" i="2" s="1"/>
  <c r="C156" i="2"/>
  <c r="E156" i="2" s="1"/>
  <c r="E157" i="2" s="1"/>
  <c r="D158" i="2" s="1"/>
  <c r="E158" i="2" s="1"/>
  <c r="F159" i="2" s="1"/>
  <c r="E21" i="2" s="1"/>
  <c r="C120" i="2"/>
  <c r="E120" i="2" s="1"/>
  <c r="E121" i="2" s="1"/>
  <c r="D122" i="2" s="1"/>
  <c r="E122" i="2" s="1"/>
  <c r="F123" i="2" s="1"/>
  <c r="E18" i="2" s="1"/>
  <c r="C74" i="3"/>
  <c r="E74" i="3" s="1"/>
  <c r="E75" i="3" s="1"/>
  <c r="D76" i="3" s="1"/>
  <c r="E76" i="3" s="1"/>
  <c r="F77" i="3" s="1"/>
  <c r="E18" i="3" s="1"/>
  <c r="C144" i="2"/>
  <c r="E144" i="2" s="1"/>
  <c r="E145" i="2" s="1"/>
  <c r="D146" i="2" s="1"/>
  <c r="E146" i="2" s="1"/>
  <c r="F147" i="2" s="1"/>
  <c r="E20" i="2" s="1"/>
  <c r="C110" i="2"/>
  <c r="E110" i="2" s="1"/>
  <c r="E111" i="2" s="1"/>
  <c r="D112" i="2" s="1"/>
  <c r="E112" i="2" s="1"/>
  <c r="F113" i="2" s="1"/>
  <c r="F116" i="3" l="1"/>
  <c r="E16" i="3" s="1"/>
  <c r="E17" i="3"/>
  <c r="F94" i="5"/>
  <c r="E17" i="5"/>
  <c r="E17" i="2"/>
  <c r="F191" i="2"/>
  <c r="F97" i="4"/>
  <c r="E17" i="4"/>
  <c r="E17" i="6"/>
  <c r="F132" i="6"/>
  <c r="F221" i="5" l="1"/>
  <c r="E16" i="5"/>
  <c r="E16" i="6"/>
  <c r="F312" i="6"/>
  <c r="F215" i="4"/>
  <c r="E16" i="4"/>
  <c r="F739" i="2"/>
  <c r="E16" i="2"/>
  <c r="E37" i="3"/>
  <c r="F323" i="6" l="1"/>
  <c r="D317" i="6"/>
  <c r="E317" i="6" s="1"/>
  <c r="F318" i="6" s="1"/>
  <c r="F320" i="6" s="1"/>
  <c r="E40" i="6" s="1"/>
  <c r="D220" i="4"/>
  <c r="E220" i="4" s="1"/>
  <c r="F221" i="4" s="1"/>
  <c r="F223" i="4" s="1"/>
  <c r="E32" i="4" s="1"/>
  <c r="E41" i="6"/>
  <c r="F32" i="3"/>
  <c r="F35" i="3"/>
  <c r="F31" i="3"/>
  <c r="F34" i="3"/>
  <c r="F29" i="3"/>
  <c r="F36" i="3"/>
  <c r="F30" i="3"/>
  <c r="F33" i="3"/>
  <c r="F20" i="3"/>
  <c r="F28" i="3"/>
  <c r="F22" i="3"/>
  <c r="F23" i="3"/>
  <c r="F21" i="3"/>
  <c r="F27" i="3"/>
  <c r="F26" i="3"/>
  <c r="F24" i="3"/>
  <c r="F25" i="3"/>
  <c r="F18" i="3"/>
  <c r="F19" i="3"/>
  <c r="E79" i="2"/>
  <c r="F17" i="3"/>
  <c r="F16" i="4"/>
  <c r="E33" i="4"/>
  <c r="F16" i="3"/>
  <c r="F37" i="3" s="1"/>
  <c r="D744" i="2"/>
  <c r="E744" i="2" s="1"/>
  <c r="F745" i="2" s="1"/>
  <c r="F747" i="2" s="1"/>
  <c r="E78" i="2" s="1"/>
  <c r="D226" i="5"/>
  <c r="E226" i="5" s="1"/>
  <c r="F227" i="5" s="1"/>
  <c r="F229" i="5" s="1"/>
  <c r="E34" i="5" s="1"/>
  <c r="F37" i="6" l="1"/>
  <c r="F38" i="6"/>
  <c r="F30" i="6"/>
  <c r="F36" i="6"/>
  <c r="F32" i="6"/>
  <c r="F39" i="6"/>
  <c r="F31" i="6"/>
  <c r="F23" i="6"/>
  <c r="F22" i="6"/>
  <c r="F29" i="6"/>
  <c r="F24" i="6"/>
  <c r="F35" i="6"/>
  <c r="F34" i="6"/>
  <c r="F21" i="6"/>
  <c r="F28" i="6"/>
  <c r="F27" i="6"/>
  <c r="F26" i="6"/>
  <c r="F33" i="6"/>
  <c r="F25" i="6"/>
  <c r="F20" i="6"/>
  <c r="F19" i="6"/>
  <c r="F18" i="6"/>
  <c r="F17" i="6"/>
  <c r="F234" i="5"/>
  <c r="F236" i="5" s="1"/>
  <c r="F239" i="5" s="1"/>
  <c r="F244" i="5" s="1"/>
  <c r="F282" i="3"/>
  <c r="F284" i="3" s="1"/>
  <c r="F287" i="3" s="1"/>
  <c r="F291" i="3" s="1"/>
  <c r="F752" i="2"/>
  <c r="F754" i="2" s="1"/>
  <c r="F757" i="2" s="1"/>
  <c r="F761" i="2" s="1"/>
  <c r="F228" i="4"/>
  <c r="F230" i="4" s="1"/>
  <c r="F233" i="4" s="1"/>
  <c r="F237" i="4" s="1"/>
  <c r="F29" i="4"/>
  <c r="F28" i="4"/>
  <c r="F30" i="4"/>
  <c r="F31" i="4"/>
  <c r="F26" i="4"/>
  <c r="F21" i="4"/>
  <c r="F19" i="4"/>
  <c r="F20" i="4"/>
  <c r="F27" i="4"/>
  <c r="F22" i="4"/>
  <c r="F33" i="4" s="1"/>
  <c r="F23" i="4"/>
  <c r="F25" i="4"/>
  <c r="F24" i="4"/>
  <c r="F18" i="4"/>
  <c r="F17" i="4"/>
  <c r="F32" i="4"/>
  <c r="F60" i="2"/>
  <c r="F34" i="2"/>
  <c r="F42" i="2"/>
  <c r="F32" i="2"/>
  <c r="F52" i="2"/>
  <c r="F31" i="2"/>
  <c r="F72" i="2"/>
  <c r="F76" i="2"/>
  <c r="F49" i="2"/>
  <c r="F41" i="2"/>
  <c r="F65" i="2"/>
  <c r="F50" i="2"/>
  <c r="F68" i="2"/>
  <c r="F36" i="2"/>
  <c r="F39" i="2"/>
  <c r="F66" i="2"/>
  <c r="F35" i="2"/>
  <c r="F44" i="2"/>
  <c r="F77" i="2"/>
  <c r="F58" i="2"/>
  <c r="F56" i="2"/>
  <c r="F62" i="2"/>
  <c r="F74" i="2"/>
  <c r="F67" i="2"/>
  <c r="F64" i="2"/>
  <c r="F59" i="2"/>
  <c r="F70" i="2"/>
  <c r="F57" i="2"/>
  <c r="F24" i="2"/>
  <c r="F48" i="2"/>
  <c r="F55" i="2"/>
  <c r="F54" i="2"/>
  <c r="F63" i="2"/>
  <c r="F47" i="2"/>
  <c r="F75" i="2"/>
  <c r="F40" i="2"/>
  <c r="F69" i="2"/>
  <c r="F30" i="2"/>
  <c r="F33" i="2"/>
  <c r="F43" i="2"/>
  <c r="F46" i="2"/>
  <c r="F23" i="2"/>
  <c r="F38" i="2"/>
  <c r="F22" i="2"/>
  <c r="F51" i="2"/>
  <c r="F71" i="2"/>
  <c r="F37" i="2"/>
  <c r="F53" i="2"/>
  <c r="F25" i="2"/>
  <c r="F29" i="2"/>
  <c r="F61" i="2"/>
  <c r="F28" i="2"/>
  <c r="F45" i="2"/>
  <c r="F73" i="2"/>
  <c r="F27" i="2"/>
  <c r="F26" i="2"/>
  <c r="F18" i="2"/>
  <c r="F20" i="2"/>
  <c r="F21" i="2"/>
  <c r="F19" i="2"/>
  <c r="F17" i="2"/>
  <c r="F78" i="2"/>
  <c r="E35" i="5"/>
  <c r="F16" i="2"/>
  <c r="F16" i="6"/>
  <c r="F41" i="6" s="1"/>
  <c r="F40" i="6"/>
  <c r="F29" i="5" l="1"/>
  <c r="F28" i="5"/>
  <c r="F33" i="5"/>
  <c r="F31" i="5"/>
  <c r="F30" i="5"/>
  <c r="F19" i="5"/>
  <c r="F27" i="5"/>
  <c r="F25" i="5"/>
  <c r="F26" i="5"/>
  <c r="F20" i="5"/>
  <c r="F21" i="5"/>
  <c r="F23" i="5"/>
  <c r="F22" i="5"/>
  <c r="F24" i="5"/>
  <c r="F18" i="5"/>
  <c r="F17" i="5"/>
  <c r="F16" i="5"/>
  <c r="F35" i="5" s="1"/>
  <c r="F79" i="2"/>
  <c r="F34" i="5"/>
</calcChain>
</file>

<file path=xl/comments1.xml><?xml version="1.0" encoding="utf-8"?>
<comments xmlns="http://schemas.openxmlformats.org/spreadsheetml/2006/main">
  <authors>
    <author/>
  </authors>
  <commentList>
    <comment ref="G83" authorId="0" shapeId="0">
      <text>
        <r>
          <rPr>
            <sz val="10"/>
            <color rgb="FF000000"/>
            <rFont val="Arial"/>
            <charset val="1"/>
          </rPr>
          <t>======
ID#AAABnktOmi8
Rafael Zacher    (2025-07-22 13:59:28)
Serão utilizados por 44 agentes de limpeza, segundo o manual de limpeza urbana - TCE/GO, item 3.3.4 - 06 unidades por capinador por ano.</t>
        </r>
      </text>
    </comment>
    <comment ref="G84" authorId="0" shapeId="0">
      <text>
        <r>
          <rPr>
            <sz val="10"/>
            <color rgb="FF000000"/>
            <rFont val="Arial"/>
            <charset val="1"/>
          </rPr>
          <t>======
ID#AAABmkBgE_E
Rafael Zacher    (2025-07-15 14:33:40)
Serão utilizados por 44 agentes de limpeza, segundo o manual de limpeza urbana - TCE/GO, item 3.3.4 - 06 unidades por capinador por ano.</t>
        </r>
      </text>
    </comment>
    <comment ref="G85" authorId="0" shapeId="0">
      <text>
        <r>
          <rPr>
            <sz val="10"/>
            <color rgb="FF000000"/>
            <rFont val="Arial"/>
            <charset val="1"/>
          </rPr>
          <t>======
ID#AAABmkBgE_I
Rafael Zacher    (2025-07-15 14:34:09)
Serão utilizados por 44 agentes de limpeza, segundo o manual de limpeza urbana - TCE/GO, item 3.3.4 - 06 unidades por capinador por ano.</t>
        </r>
      </text>
    </comment>
    <comment ref="G86" authorId="0" shapeId="0">
      <text>
        <r>
          <rPr>
            <sz val="10"/>
            <color rgb="FF000000"/>
            <rFont val="Arial"/>
            <charset val="1"/>
          </rPr>
          <t>======
ID#AAABmkBgE_Q
Rafael Zacher    (2025-07-15 14:40:32)
Serão utilizados por 44
agentes de limpeza, segundo o manual de limpeza urbana - TCE/GO, item 4.3.5 - 01 unidades por ajudante por ano.</t>
        </r>
      </text>
    </comment>
    <comment ref="G87" authorId="0" shapeId="0">
      <text>
        <r>
          <rPr>
            <sz val="10"/>
            <color rgb="FF000000"/>
            <rFont val="Arial"/>
            <charset val="1"/>
          </rPr>
          <t>======
ID#AAABmkBgE_Y
Rafael Zacher    (2025-07-15 14:53:54)
Serão utilizados por 59 agentes de limpeza, segundo o manual de limpeza urbana - TCE/GO, item 2.3.5 - 08 unidades por ajudante por ano. São 60 agentes, mas um agente será ajudante do motorista</t>
        </r>
      </text>
    </comment>
    <comment ref="G88" authorId="0" shapeId="0">
      <text>
        <r>
          <rPr>
            <sz val="10"/>
            <color rgb="FF000000"/>
            <rFont val="Arial"/>
            <charset val="1"/>
          </rPr>
          <t>======
ID#AAABmkBgE_g
Rafael Zacher    (2025-07-15 14:56:36)
Segundo, o manual de limpeza urbana - TCE/GO, item 2.3.5 - 06 unidades por lutocares por ano. São 28 lutocares</t>
        </r>
      </text>
    </comment>
    <comment ref="G91" authorId="0" shapeId="0">
      <text>
        <r>
          <rPr>
            <sz val="10"/>
            <color rgb="FF000000"/>
            <rFont val="Arial"/>
            <charset val="1"/>
          </rPr>
          <t>======
ID#AAABnX3G3yg
Rafael Zacher    (2025-07-15 17:15:44)
Não utilizamos a metodologia do Manual de Limpeza Urbana TCE/GO, devido o cálculo obtido ser muito maior do que o fornececido pela fiscalização do contrato.</t>
        </r>
      </text>
    </comment>
    <comment ref="G92" authorId="0" shapeId="0">
      <text>
        <r>
          <rPr>
            <sz val="10"/>
            <color rgb="FF000000"/>
            <rFont val="Arial"/>
            <charset val="1"/>
          </rPr>
          <t>======
ID#AAABnX3G3yo
Rafael Zacher    (2025-07-15 17:21:03)
Segundo, o manual de limpeza urbana - TCE/GO, item 6.3.4 - 06 unidades por pintor por ano. São 21 pintores.</t>
        </r>
      </text>
    </comment>
    <comment ref="G93" authorId="0" shapeId="0">
      <text>
        <r>
          <rPr>
            <sz val="10"/>
            <color rgb="FF000000"/>
            <rFont val="Arial"/>
            <charset val="1"/>
          </rPr>
          <t>======
ID#AAABnX3G3yw
Rafael Zacher    (2025-07-15 17:33:31)
Utilizamos a metodologia do Manual de Limpeza Urbana TCE/GO. Item 6.3.4 - 0,09kgxm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4" authorId="0" shapeId="0">
      <text>
        <r>
          <rPr>
            <sz val="10"/>
            <color rgb="FF000000"/>
            <rFont val="Arial"/>
            <charset val="1"/>
          </rPr>
          <t>======
ID#AAABj5x5Lfk
    (2025-05-20 16:59:22)
Qualquer custo previsto no edital e não contemplado nesta planilha modelo deverá ser devidamente incluído</t>
        </r>
      </text>
    </comment>
    <comment ref="B101" authorId="0" shapeId="0">
      <text>
        <r>
          <rPr>
            <sz val="10"/>
            <color rgb="FF000000"/>
            <rFont val="Arial"/>
            <charset val="1"/>
          </rPr>
          <t>======
ID#AAABj5x5LxY
    (2025-05-20 16:59:23)
Informar o fator de utilização das equipes de coleta. 
Por exemplo:
Equipes com utilização integral = 100%
Equipes com utilização parcial = n° horas trabalhadas por semana /44 horas</t>
        </r>
      </text>
    </comment>
    <comment ref="C110" authorId="0" shapeId="0">
      <text>
        <r>
          <rPr>
            <sz val="10"/>
            <color rgb="FF000000"/>
            <rFont val="Arial"/>
            <charset val="1"/>
          </rPr>
          <t>======
ID#AAABj5x5LhY
    (2025-05-20 16:59:22)
Preencher a planilha Encargos Sociais e CAGED</t>
        </r>
      </text>
    </comment>
    <comment ref="C112" authorId="0" shapeId="0">
      <text>
        <r>
          <rPr>
            <sz val="10"/>
            <color rgb="FF000000"/>
            <rFont val="Arial"/>
            <charset val="1"/>
          </rPr>
          <t>======
ID#AAABj5x5LuU
    (2025-05-20 16:59:23)
Informar a quantidade de trabalhadores na função</t>
        </r>
      </text>
    </comment>
    <comment ref="C120" authorId="0" shapeId="0">
      <text>
        <r>
          <rPr>
            <sz val="10"/>
            <color rgb="FF000000"/>
            <rFont val="Arial"/>
            <charset val="1"/>
          </rPr>
          <t>======
ID#AAABj5x5Lys
    (2025-05-20 16:59:23)
Preencher a planilha Encargos Sociais e CAGED</t>
        </r>
      </text>
    </comment>
    <comment ref="C122" authorId="0" shapeId="0">
      <text>
        <r>
          <rPr>
            <sz val="10"/>
            <color rgb="FF000000"/>
            <rFont val="Arial"/>
            <charset val="1"/>
          </rPr>
          <t>======
ID#AAABj5x5LUI
    (2025-05-20 16:59:22)
Informar a quantidade de trabalhadores na função</t>
        </r>
      </text>
    </comment>
    <comment ref="D128" authorId="0" shapeId="0">
      <text>
        <r>
          <rPr>
            <sz val="10"/>
            <color rgb="FF000000"/>
            <rFont val="Arial"/>
            <charset val="1"/>
          </rPr>
          <t>======
ID#AAABj5x5LkI
    (2025-05-20 16:59:23)
Informar o valor do salário Mínimo Nacional</t>
        </r>
      </text>
    </comment>
    <comment ref="C129" authorId="0" shapeId="0">
      <text>
        <r>
          <rPr>
            <sz val="10"/>
            <color rgb="FF000000"/>
            <rFont val="Arial"/>
            <charset val="1"/>
          </rPr>
          <t>======
ID#AAABj5x5Lqo
    (2025-05-20 16:59:23)
Informar 1 se a base de cálculo for o Salário Mínimo Nacional; Informar 2 se a base de cálculo for o Piso da Categoria;</t>
        </r>
      </text>
    </comment>
    <comment ref="C130" authorId="0" shapeId="0">
      <text>
        <r>
          <rPr>
            <sz val="10"/>
            <color rgb="FF000000"/>
            <rFont val="Arial"/>
            <charset val="1"/>
          </rPr>
          <t>======
ID#AAABj5x5LNU
    (2025-05-20 16:59:22)
Percentual estabelecido nas Normas de Segurança de Trabalho ou pelo laudo de responsável técnico devidamente habilitado</t>
        </r>
      </text>
    </comment>
    <comment ref="C132" authorId="0" shapeId="0">
      <text>
        <r>
          <rPr>
            <sz val="10"/>
            <color rgb="FF000000"/>
            <rFont val="Arial"/>
            <charset val="1"/>
          </rPr>
          <t>======
ID#AAABj5x5LfI
    (2025-05-20 16:59:22)
Preencher a planilha Encargos Sociais e CAGED</t>
        </r>
      </text>
    </comment>
    <comment ref="C134" authorId="0" shapeId="0">
      <text>
        <r>
          <rPr>
            <sz val="10"/>
            <color rgb="FF000000"/>
            <rFont val="Arial"/>
            <charset val="1"/>
          </rPr>
          <t>======
ID#AAABj5x5LWE
    (2025-05-20 16:59:22)
Informar a quantidade de trabalhadores na função</t>
        </r>
      </text>
    </comment>
    <comment ref="D140" authorId="0" shapeId="0">
      <text>
        <r>
          <rPr>
            <sz val="10"/>
            <color rgb="FF000000"/>
            <rFont val="Arial"/>
            <charset val="1"/>
          </rPr>
          <t>======
ID#AAABj5x5LcE
    (2025-05-20 16:59:22)
Informar o valor do salário Mínimo Nacional</t>
        </r>
      </text>
    </comment>
    <comment ref="C141" authorId="0" shapeId="0">
      <text>
        <r>
          <rPr>
            <sz val="10"/>
            <color rgb="FF000000"/>
            <rFont val="Arial"/>
            <charset val="1"/>
          </rPr>
          <t>======
ID#AAABj5x5LO8
    (2025-05-20 16:59:22)
Informar 1 se a base de cálculo for o Salário Mínimo Nacional; Informar 2 se a base de cálculo for o Piso da Categoria;</t>
        </r>
      </text>
    </comment>
    <comment ref="C142" authorId="0" shapeId="0">
      <text>
        <r>
          <rPr>
            <sz val="10"/>
            <color rgb="FF000000"/>
            <rFont val="Arial"/>
            <charset val="1"/>
          </rPr>
          <t>======
ID#AAABj5x5Lt8
    (2025-05-20 16:59:23)
Percentual estabelecido nas Normas de Segurança de Trabalho ou pelo laudo de responsável técnico devidamente habilitado</t>
        </r>
      </text>
    </comment>
    <comment ref="C144" authorId="0" shapeId="0">
      <text>
        <r>
          <rPr>
            <sz val="10"/>
            <color rgb="FF000000"/>
            <rFont val="Arial"/>
            <charset val="1"/>
          </rPr>
          <t>======
ID#AAABj5x5Lfw
    (2025-05-20 16:59:22)
Preencher a planilha Encargos Sociais e CAGED</t>
        </r>
      </text>
    </comment>
    <comment ref="C146" authorId="0" shapeId="0">
      <text>
        <r>
          <rPr>
            <sz val="10"/>
            <color rgb="FF000000"/>
            <rFont val="Arial"/>
            <charset val="1"/>
          </rPr>
          <t>======
ID#AAABj5x5Lzk
    (2025-05-20 16:59:23)
Informar a quantidade de trabalhadores na função</t>
        </r>
      </text>
    </comment>
    <comment ref="D152" authorId="0" shapeId="0">
      <text>
        <r>
          <rPr>
            <sz val="10"/>
            <color rgb="FF000000"/>
            <rFont val="Arial"/>
            <charset val="1"/>
          </rPr>
          <t>======
ID#AAABj5x5LlA
    (2025-05-20 16:59:23)
Informar o valor do salário Mínimo Nacional</t>
        </r>
      </text>
    </comment>
    <comment ref="C154" authorId="0" shapeId="0">
      <text>
        <r>
          <rPr>
            <sz val="10"/>
            <color rgb="FF000000"/>
            <rFont val="Arial"/>
            <charset val="1"/>
          </rPr>
          <t>======
ID#AAABj5x5LLA
    (2025-05-20 16:59:22)
Percentual estabelecido nas Normas de Segurança de Trabalho ou pelo laudo de responsável técnico devidamente habilitado</t>
        </r>
      </text>
    </comment>
    <comment ref="C156" authorId="0" shapeId="0">
      <text>
        <r>
          <rPr>
            <sz val="10"/>
            <color rgb="FF000000"/>
            <rFont val="Arial"/>
            <charset val="1"/>
          </rPr>
          <t>======
ID#AAABj5x5LoM
    (2025-05-20 16:59:23)
Preencher a planilha Encargos Sociais e CAGED</t>
        </r>
      </text>
    </comment>
    <comment ref="C158" authorId="0" shapeId="0">
      <text>
        <r>
          <rPr>
            <sz val="10"/>
            <color rgb="FF000000"/>
            <rFont val="Arial"/>
            <charset val="1"/>
          </rPr>
          <t>======
ID#AAABj5x5Lhw
    (2025-05-20 16:59:22)
Informar a quantidade de trabalhadores na função</t>
        </r>
      </text>
    </comment>
    <comment ref="C165" authorId="0" shapeId="0">
      <text>
        <r>
          <rPr>
            <sz val="10"/>
            <color rgb="FF000000"/>
            <rFont val="Arial"/>
            <charset val="1"/>
          </rPr>
          <t>======
ID#AAABj5x5Lgc
    (2025-05-20 16:59:22)
Informar o número médio de dias trabalhados por mês</t>
        </r>
      </text>
    </comment>
    <comment ref="D166" authorId="0" shapeId="0">
      <text>
        <r>
          <rPr>
            <sz val="10"/>
            <color rgb="FF000000"/>
            <rFont val="Arial"/>
            <charset val="1"/>
          </rPr>
          <t>======
ID#AAABj5x5LZ4
    (2025-05-20 16:59:22)
Valor Unitário considerando o desconto legal de até 6% do salário</t>
        </r>
      </text>
    </comment>
    <comment ref="D167" authorId="0" shapeId="0">
      <text>
        <r>
          <rPr>
            <sz val="10"/>
            <color rgb="FF000000"/>
            <rFont val="Arial"/>
            <charset val="1"/>
          </rPr>
          <t>======
ID#AAABj5x5LOU
    (2025-05-20 16:59:22)
Valor Unitário considerando o desconto legal de até 6% do salário</t>
        </r>
      </text>
    </comment>
    <comment ref="D168" authorId="0" shapeId="0">
      <text>
        <r>
          <rPr>
            <sz val="10"/>
            <color rgb="FF000000"/>
            <rFont val="Arial"/>
            <charset val="1"/>
          </rPr>
          <t>======
ID#AAABj5x5LZk
    (2025-05-20 16:59:22)
Valor Unitário considerando o desconto legal de até 6% do salário</t>
        </r>
      </text>
    </comment>
    <comment ref="D169" authorId="0" shapeId="0">
      <text>
        <r>
          <rPr>
            <sz val="10"/>
            <color rgb="FF000000"/>
            <rFont val="Arial"/>
            <charset val="1"/>
          </rPr>
          <t>======
ID#AAABj5x5Ltw
    (2025-05-20 16:59:23)
Valor Unitário considerando o desconto legal de até 6% do salário</t>
        </r>
      </text>
    </comment>
    <comment ref="D170" authorId="0" shapeId="0">
      <text>
        <r>
          <rPr>
            <sz val="10"/>
            <color rgb="FF000000"/>
            <rFont val="Arial"/>
            <charset val="1"/>
          </rPr>
          <t>======
ID#AAABj5x5LnY
    (2025-05-20 16:59:23)
Valor Unitário considerando o desconto legal de até 6% do salário</t>
        </r>
      </text>
    </comment>
    <comment ref="D184" authorId="0" shapeId="0">
      <text>
        <r>
          <rPr>
            <sz val="10"/>
            <color rgb="FF000000"/>
            <rFont val="Arial"/>
            <charset val="1"/>
          </rPr>
          <t>======
ID#AAABj5x5LOo
    (2025-05-20 16:59:22)
Informar o valor mensal do auxilio alimentação, considerando o desconto aplicável ao funcionário, conforme Convenção Coletiva da categoria</t>
        </r>
      </text>
    </comment>
    <comment ref="D185" authorId="0" shapeId="0">
      <text>
        <r>
          <rPr>
            <sz val="10"/>
            <color rgb="FF000000"/>
            <rFont val="Arial"/>
            <charset val="1"/>
          </rPr>
          <t>======
ID#AAABj5x5LRg
    (2025-05-20 16:59:22)
Informar o valor mensal do auxilio alimentação, considerando o desconto aplicável ao funcionário, conforme Convenção Coletiva da categoria</t>
        </r>
      </text>
    </comment>
    <comment ref="D187" authorId="0" shapeId="0">
      <text>
        <r>
          <rPr>
            <sz val="10"/>
            <color rgb="FF000000"/>
            <rFont val="Arial"/>
            <charset val="1"/>
          </rPr>
          <t>======
ID#AAABj5x5LsE
    (2025-05-20 16:59:23)
Informar o valor mensal do auxilio alimentação, considerando o desconto aplicável ao funcionário, conforme Convenção Coletiva da categoria</t>
        </r>
      </text>
    </comment>
    <comment ref="C198" authorId="0" shapeId="0">
      <text>
        <r>
          <rPr>
            <sz val="10"/>
            <color rgb="FF000000"/>
            <rFont val="Arial"/>
            <charset val="1"/>
          </rPr>
          <t>======
ID#AAABj5x5LUY
    (2025-05-20 16:59:22)
Informar a durabilidade estimada em meses, para cada EPI</t>
        </r>
      </text>
    </comment>
    <comment ref="D198" authorId="0" shapeId="0">
      <text>
        <r>
          <rPr>
            <sz val="10"/>
            <color rgb="FF000000"/>
            <rFont val="Arial"/>
            <charset val="1"/>
          </rPr>
          <t>======
ID#AAABj5x5Lg8
    (2025-05-20 16:59:22)
Informar o valor unitário estimado para aquisição de cada EPI</t>
        </r>
      </text>
    </comment>
    <comment ref="C199" authorId="0" shapeId="0">
      <text>
        <r>
          <rPr>
            <sz val="10"/>
            <color rgb="FF000000"/>
            <rFont val="Arial"/>
            <charset val="1"/>
          </rPr>
          <t>======
ID#AAABj5x5LZs
    (2025-05-20 16:59:22)
Informar a durabilidade estimada em meses, para cada EPI</t>
        </r>
      </text>
    </comment>
    <comment ref="D199" authorId="0" shapeId="0">
      <text>
        <r>
          <rPr>
            <sz val="10"/>
            <color rgb="FF000000"/>
            <rFont val="Arial"/>
            <charset val="1"/>
          </rPr>
          <t>======
ID#AAABj5x5K8E
    (2025-05-20 16:59:22)
Informar o valor unitário estimado para aquisição de cada EPI</t>
        </r>
      </text>
    </comment>
    <comment ref="C200" authorId="0" shapeId="0">
      <text>
        <r>
          <rPr>
            <sz val="10"/>
            <color rgb="FF000000"/>
            <rFont val="Arial"/>
            <charset val="1"/>
          </rPr>
          <t>======
ID#AAABj5x5LIQ
    (2025-05-20 16:59:22)
Informar a durabilidade estimada em meses, para cada EPI</t>
        </r>
      </text>
    </comment>
    <comment ref="D200" authorId="0" shapeId="0">
      <text>
        <r>
          <rPr>
            <sz val="10"/>
            <color rgb="FF000000"/>
            <rFont val="Arial"/>
            <charset val="1"/>
          </rPr>
          <t>======
ID#AAABj5x5LQ8
    (2025-05-20 16:59:22)
Informar o valor unitário estimado para aquisição de cada EPI</t>
        </r>
      </text>
    </comment>
    <comment ref="C201" authorId="0" shapeId="0">
      <text>
        <r>
          <rPr>
            <sz val="10"/>
            <color rgb="FF000000"/>
            <rFont val="Arial"/>
            <charset val="1"/>
          </rPr>
          <t>======
ID#AAABj5x5Ldc
    (2025-05-20 16:59:22)
Informar a durabilidade estimada em meses, para cada EPI</t>
        </r>
      </text>
    </comment>
    <comment ref="D201" authorId="0" shapeId="0">
      <text>
        <r>
          <rPr>
            <sz val="10"/>
            <color rgb="FF000000"/>
            <rFont val="Arial"/>
            <charset val="1"/>
          </rPr>
          <t>======
ID#AAABj5x5Lrk
    (2025-05-20 16:59:23)
Informar o valor unitário estimado para aquisição de cada EPI</t>
        </r>
      </text>
    </comment>
    <comment ref="C202" authorId="0" shapeId="0">
      <text>
        <r>
          <rPr>
            <sz val="10"/>
            <color rgb="FF000000"/>
            <rFont val="Arial"/>
            <charset val="1"/>
          </rPr>
          <t>======
ID#AAABj5x5LbM
    (2025-05-20 16:59:22)
Informar a durabilidade estimada em meses, para cada EPI</t>
        </r>
      </text>
    </comment>
    <comment ref="D202" authorId="0" shapeId="0">
      <text>
        <r>
          <rPr>
            <sz val="10"/>
            <color rgb="FF000000"/>
            <rFont val="Arial"/>
            <charset val="1"/>
          </rPr>
          <t>======
ID#AAABj5x5Ltk
    (2025-05-20 16:59:23)
Informar o valor unitário estimado para aquisição de cada EPI</t>
        </r>
      </text>
    </comment>
    <comment ref="C203" authorId="0" shapeId="0">
      <text>
        <r>
          <rPr>
            <sz val="10"/>
            <color rgb="FF000000"/>
            <rFont val="Arial"/>
            <charset val="1"/>
          </rPr>
          <t>======
ID#AAABj5x5LWg
    (2025-05-20 16:59:22)
Informar a durabilidade estimada em meses, para cada EPI</t>
        </r>
      </text>
    </comment>
    <comment ref="D203" authorId="0" shapeId="0">
      <text>
        <r>
          <rPr>
            <sz val="10"/>
            <color rgb="FF000000"/>
            <rFont val="Arial"/>
            <charset val="1"/>
          </rPr>
          <t>======
ID#AAABj5x5LQI
    (2025-05-20 16:59:22)
Informar o valor unitário estimado para aquisição de cada EPI</t>
        </r>
      </text>
    </comment>
    <comment ref="C204" authorId="0" shapeId="0">
      <text>
        <r>
          <rPr>
            <sz val="10"/>
            <color rgb="FF000000"/>
            <rFont val="Arial"/>
            <charset val="1"/>
          </rPr>
          <t>======
ID#AAABj5x5Law
    (2025-05-20 16:59:22)
Informar a durabilidade estimada em meses, para cada EPI</t>
        </r>
      </text>
    </comment>
    <comment ref="D204" authorId="0" shapeId="0">
      <text>
        <r>
          <rPr>
            <sz val="10"/>
            <color rgb="FF000000"/>
            <rFont val="Arial"/>
            <charset val="1"/>
          </rPr>
          <t>======
ID#AAABj5x5K-c
    (2025-05-20 16:59:22)
Informar o valor unitário estimado para aquisição de cada EPI</t>
        </r>
      </text>
    </comment>
    <comment ref="C205" authorId="0" shapeId="0">
      <text>
        <r>
          <rPr>
            <sz val="10"/>
            <color rgb="FF000000"/>
            <rFont val="Arial"/>
            <charset val="1"/>
          </rPr>
          <t>======
ID#AAABj5x5LSQ
    (2025-05-20 16:59:22)
Informar a durabilidade estimada em meses, para cada EPI</t>
        </r>
      </text>
    </comment>
    <comment ref="D205" authorId="0" shapeId="0">
      <text>
        <r>
          <rPr>
            <sz val="10"/>
            <color rgb="FF000000"/>
            <rFont val="Arial"/>
            <charset val="1"/>
          </rPr>
          <t>======
ID#AAABj5x5Lyw
    (2025-05-20 16:59:23)
Informar o valor unitário estimado para aquisição de cada EPI</t>
        </r>
      </text>
    </comment>
    <comment ref="C206" authorId="0" shapeId="0">
      <text>
        <r>
          <rPr>
            <sz val="10"/>
            <color rgb="FF000000"/>
            <rFont val="Arial"/>
            <charset val="1"/>
          </rPr>
          <t>======
ID#AAABj5x5LKk
    (2025-05-20 16:59:22)
Informar a durabilidade estimada em meses, para cada EPI</t>
        </r>
      </text>
    </comment>
    <comment ref="D206" authorId="0" shapeId="0">
      <text>
        <r>
          <rPr>
            <sz val="10"/>
            <color rgb="FF000000"/>
            <rFont val="Arial"/>
            <charset val="1"/>
          </rPr>
          <t>======
ID#AAABj5x5L0M
    (2025-05-20 16:59:23)
Informar o valor unitário estimado para aquisição de cada EPI</t>
        </r>
      </text>
    </comment>
    <comment ref="C207" authorId="0" shapeId="0">
      <text>
        <r>
          <rPr>
            <sz val="10"/>
            <color rgb="FF000000"/>
            <rFont val="Arial"/>
            <charset val="1"/>
          </rPr>
          <t>======
ID#AAABj5x5Lx8
    (2025-05-20 16:59:23)
Informar a durabilidade estimada em meses, para cada EPI</t>
        </r>
      </text>
    </comment>
    <comment ref="D207" authorId="0" shapeId="0">
      <text>
        <r>
          <rPr>
            <sz val="10"/>
            <color rgb="FF000000"/>
            <rFont val="Arial"/>
            <charset val="1"/>
          </rPr>
          <t>======
ID#AAABj5x5LeI
    (2025-05-20 16:59:22)
Informar o valor unitário estimado para aquisição de cada EPI</t>
        </r>
      </text>
    </comment>
    <comment ref="C208" authorId="0" shapeId="0">
      <text>
        <r>
          <rPr>
            <sz val="10"/>
            <color rgb="FF000000"/>
            <rFont val="Arial"/>
            <charset val="1"/>
          </rPr>
          <t>======
ID#AAABj5x5LRE
    (2025-05-20 16:59:22)
Informar a durabilidade estimada em meses, para cada EPI</t>
        </r>
      </text>
    </comment>
    <comment ref="D208" authorId="0" shapeId="0">
      <text>
        <r>
          <rPr>
            <sz val="10"/>
            <color rgb="FF000000"/>
            <rFont val="Arial"/>
            <charset val="1"/>
          </rPr>
          <t>======
ID#AAABj5x5LvU
    (2025-05-20 16:59:23)
Informar o valor unitário estimado para aquisição de cada EPI</t>
        </r>
      </text>
    </comment>
    <comment ref="C209" authorId="0" shapeId="0">
      <text>
        <r>
          <rPr>
            <sz val="10"/>
            <color rgb="FF000000"/>
            <rFont val="Arial"/>
            <charset val="1"/>
          </rPr>
          <t>======
ID#AAABj5x5Ld8
    (2025-05-20 16:59:22)
Informar a durabilidade estimada em meses, para cada EPI</t>
        </r>
      </text>
    </comment>
    <comment ref="D209" authorId="0" shapeId="0">
      <text>
        <r>
          <rPr>
            <sz val="10"/>
            <color rgb="FF000000"/>
            <rFont val="Arial"/>
            <charset val="1"/>
          </rPr>
          <t>======
ID#AAABj5x5LLk
    (2025-05-20 16:59:22)
Informar o valor unitário estimado para aquisição de cada EPI</t>
        </r>
      </text>
    </comment>
    <comment ref="C210" authorId="0" shapeId="0">
      <text>
        <r>
          <rPr>
            <sz val="10"/>
            <color rgb="FF000000"/>
            <rFont val="Arial"/>
            <charset val="1"/>
          </rPr>
          <t>======
ID#AAABj5x5Lq4
    (2025-05-20 16:59:23)
Informar a durabilidade estimada em meses, para cada EPI</t>
        </r>
      </text>
    </comment>
    <comment ref="D210" authorId="0" shapeId="0">
      <text>
        <r>
          <rPr>
            <sz val="10"/>
            <color rgb="FF000000"/>
            <rFont val="Arial"/>
            <charset val="1"/>
          </rPr>
          <t>======
ID#AAABj5x5LgQ
    (2025-05-20 16:59:22)
Informar o valor unitário estimado para aquisição de cada EPI</t>
        </r>
      </text>
    </comment>
    <comment ref="C217" authorId="0" shapeId="0">
      <text>
        <r>
          <rPr>
            <sz val="10"/>
            <color rgb="FF000000"/>
            <rFont val="Arial"/>
            <charset val="1"/>
          </rPr>
          <t>======
ID#AAABj5x5LhQ
    (2025-05-20 16:59:22)
Informar a durabilidade estimada em meses, para cada EPI</t>
        </r>
      </text>
    </comment>
    <comment ref="D217" authorId="0" shapeId="0">
      <text>
        <r>
          <rPr>
            <sz val="10"/>
            <color rgb="FF000000"/>
            <rFont val="Arial"/>
            <charset val="1"/>
          </rPr>
          <t>======
ID#AAABj5x5LK0
    (2025-05-20 16:59:22)
Informar o valor unitário estimado para aquisição de cada EPI</t>
        </r>
      </text>
    </comment>
    <comment ref="C218" authorId="0" shapeId="0">
      <text>
        <r>
          <rPr>
            <sz val="10"/>
            <color rgb="FF000000"/>
            <rFont val="Arial"/>
            <charset val="1"/>
          </rPr>
          <t>======
ID#AAABj5x5Lhg
    (2025-05-20 16:59:22)
Informar a durabilidade estimada em meses, para cada EPI</t>
        </r>
      </text>
    </comment>
    <comment ref="D218" authorId="0" shapeId="0">
      <text>
        <r>
          <rPr>
            <sz val="10"/>
            <color rgb="FF000000"/>
            <rFont val="Arial"/>
            <charset val="1"/>
          </rPr>
          <t>======
ID#AAABj5x5LtU
    (2025-05-20 16:59:23)
Informar o valor unitário estimado para aquisição de cada EPI</t>
        </r>
      </text>
    </comment>
    <comment ref="C219" authorId="0" shapeId="0">
      <text>
        <r>
          <rPr>
            <sz val="10"/>
            <color rgb="FF000000"/>
            <rFont val="Arial"/>
            <charset val="1"/>
          </rPr>
          <t>======
ID#AAABj5x5Lws
    (2025-05-20 16:59:23)
Informar a durabilidade estimada em meses, para cada EPI</t>
        </r>
      </text>
    </comment>
    <comment ref="D219" authorId="0" shapeId="0">
      <text>
        <r>
          <rPr>
            <sz val="10"/>
            <color rgb="FF000000"/>
            <rFont val="Arial"/>
            <charset val="1"/>
          </rPr>
          <t>======
ID#AAABj5x5LLU
    (2025-05-20 16:59:22)
Informar o valor unitário estimado para aquisição de cada EPI</t>
        </r>
      </text>
    </comment>
    <comment ref="C220" authorId="0" shapeId="0">
      <text>
        <r>
          <rPr>
            <sz val="10"/>
            <color rgb="FF000000"/>
            <rFont val="Arial"/>
            <charset val="1"/>
          </rPr>
          <t>======
ID#AAABj5x5LMM
    (2025-05-20 16:59:22)
Informar a durabilidade estimada em meses, para cada EPI</t>
        </r>
      </text>
    </comment>
    <comment ref="D220" authorId="0" shapeId="0">
      <text>
        <r>
          <rPr>
            <sz val="10"/>
            <color rgb="FF000000"/>
            <rFont val="Arial"/>
            <charset val="1"/>
          </rPr>
          <t>======
ID#AAABj5x5Lwc
    (2025-05-20 16:59:23)
Informar o valor unitário estimado para aquisição de cada EPI</t>
        </r>
      </text>
    </comment>
    <comment ref="C221" authorId="0" shapeId="0">
      <text>
        <r>
          <rPr>
            <sz val="10"/>
            <color rgb="FF000000"/>
            <rFont val="Arial"/>
            <charset val="1"/>
          </rPr>
          <t>======
ID#AAABj5x5Lwg
    (2025-05-20 16:59:23)
Informar a durabilidade estimada em meses, para cada EPI</t>
        </r>
      </text>
    </comment>
    <comment ref="D221" authorId="0" shapeId="0">
      <text>
        <r>
          <rPr>
            <sz val="10"/>
            <color rgb="FF000000"/>
            <rFont val="Arial"/>
            <charset val="1"/>
          </rPr>
          <t>======
ID#AAABj5x5LzM
    (2025-05-20 16:59:23)
Informar o valor unitário estimado para aquisição de cada EPI</t>
        </r>
      </text>
    </comment>
    <comment ref="C222" authorId="0" shapeId="0">
      <text>
        <r>
          <rPr>
            <sz val="10"/>
            <color rgb="FF000000"/>
            <rFont val="Arial"/>
            <charset val="1"/>
          </rPr>
          <t>======
ID#AAABj5x5Lf0
    (2025-05-20 16:59:22)
Informar a durabilidade estimada em meses, para cada EPI</t>
        </r>
      </text>
    </comment>
    <comment ref="D222" authorId="0" shapeId="0">
      <text>
        <r>
          <rPr>
            <sz val="10"/>
            <color rgb="FF000000"/>
            <rFont val="Arial"/>
            <charset val="1"/>
          </rPr>
          <t>======
ID#AAABj5x5LWY
    (2025-05-20 16:59:22)
Informar o valor unitário estimado para aquisição de cada EPI</t>
        </r>
      </text>
    </comment>
    <comment ref="C223" authorId="0" shapeId="0">
      <text>
        <r>
          <rPr>
            <sz val="10"/>
            <color rgb="FF000000"/>
            <rFont val="Arial"/>
            <charset val="1"/>
          </rPr>
          <t>======
ID#AAABj5x5LJw
    (2025-05-20 16:59:22)
Informar a durabilidade estimada em meses, para cada EPI</t>
        </r>
      </text>
    </comment>
    <comment ref="D223" authorId="0" shapeId="0">
      <text>
        <r>
          <rPr>
            <sz val="10"/>
            <color rgb="FF000000"/>
            <rFont val="Arial"/>
            <charset val="1"/>
          </rPr>
          <t>======
ID#AAABj5x5Lc8
    (2025-05-20 16:59:22)
Informar o valor unitário estimado para aquisição de cada EPI</t>
        </r>
      </text>
    </comment>
    <comment ref="C224" authorId="0" shapeId="0">
      <text>
        <r>
          <rPr>
            <sz val="10"/>
            <color rgb="FF000000"/>
            <rFont val="Arial"/>
            <charset val="1"/>
          </rPr>
          <t>======
ID#AAABj5x5LW4
    (2025-05-20 16:59:22)
Informar a durabilidade estimada em meses, para cada EPI</t>
        </r>
      </text>
    </comment>
    <comment ref="D224" authorId="0" shapeId="0">
      <text>
        <r>
          <rPr>
            <sz val="10"/>
            <color rgb="FF000000"/>
            <rFont val="Arial"/>
            <charset val="1"/>
          </rPr>
          <t>======
ID#AAABj5x5LjI
    (2025-05-20 16:59:23)
Informar o valor unitário estimado para aquisição de cada EPI</t>
        </r>
      </text>
    </comment>
    <comment ref="C225" authorId="0" shapeId="0">
      <text>
        <r>
          <rPr>
            <sz val="10"/>
            <color rgb="FF000000"/>
            <rFont val="Arial"/>
            <charset val="1"/>
          </rPr>
          <t>======
ID#AAABj5x5K7E
    (2025-05-20 16:59:22)
Informar a durabilidade estimada em meses, para cada EPI</t>
        </r>
      </text>
    </comment>
    <comment ref="D225" authorId="0" shapeId="0">
      <text>
        <r>
          <rPr>
            <sz val="10"/>
            <color rgb="FF000000"/>
            <rFont val="Arial"/>
            <charset val="1"/>
          </rPr>
          <t>======
ID#AAABj5x5K9k
    (2025-05-20 16:59:22)
Informar o valor unitário estimado para aquisição de cada EPI</t>
        </r>
      </text>
    </comment>
    <comment ref="C226" authorId="0" shapeId="0">
      <text>
        <r>
          <rPr>
            <sz val="10"/>
            <color rgb="FF000000"/>
            <rFont val="Arial"/>
            <charset val="1"/>
          </rPr>
          <t>======
ID#AAABj5x5Ln4
    (2025-05-20 16:59:23)
Informar a durabilidade estimada em meses, para cada EPI</t>
        </r>
      </text>
    </comment>
    <comment ref="D226" authorId="0" shapeId="0">
      <text>
        <r>
          <rPr>
            <sz val="10"/>
            <color rgb="FF000000"/>
            <rFont val="Arial"/>
            <charset val="1"/>
          </rPr>
          <t>======
ID#AAABj5x5Lx4
    (2025-05-20 16:59:23)
Informar o valor unitário estimado para aquisição de cada EPI</t>
        </r>
      </text>
    </comment>
    <comment ref="C233" authorId="0" shapeId="0">
      <text>
        <r>
          <rPr>
            <sz val="10"/>
            <color rgb="FF000000"/>
            <rFont val="Arial"/>
            <charset val="1"/>
          </rPr>
          <t>======
ID#AAABj5x5LKA
    (2025-05-20 16:59:22)
Informar a durabilidade estimada em meses, para cada EPI</t>
        </r>
      </text>
    </comment>
    <comment ref="D233" authorId="0" shapeId="0">
      <text>
        <r>
          <rPr>
            <sz val="10"/>
            <color rgb="FF000000"/>
            <rFont val="Arial"/>
            <charset val="1"/>
          </rPr>
          <t>======
ID#AAABj5x5Lvo
    (2025-05-20 16:59:23)
Informar o valor unitário estimado para aquisição de cada EPI</t>
        </r>
      </text>
    </comment>
    <comment ref="C234" authorId="0" shapeId="0">
      <text>
        <r>
          <rPr>
            <sz val="10"/>
            <color rgb="FF000000"/>
            <rFont val="Arial"/>
            <charset val="1"/>
          </rPr>
          <t>======
ID#AAABj5x5LeM
    (2025-05-20 16:59:22)
Informar a durabilidade estimada em meses, para cada EPI</t>
        </r>
      </text>
    </comment>
    <comment ref="D234" authorId="0" shapeId="0">
      <text>
        <r>
          <rPr>
            <sz val="10"/>
            <color rgb="FF000000"/>
            <rFont val="Arial"/>
            <charset val="1"/>
          </rPr>
          <t>======
ID#AAABj5x5K7I
    (2025-05-20 16:59:22)
Informar o valor unitário estimado para aquisição de cada EPI</t>
        </r>
      </text>
    </comment>
    <comment ref="C235" authorId="0" shapeId="0">
      <text>
        <r>
          <rPr>
            <sz val="10"/>
            <color rgb="FF000000"/>
            <rFont val="Arial"/>
            <charset val="1"/>
          </rPr>
          <t>======
ID#AAABj5x5Lbo
    (2025-05-20 16:59:22)
Informar a durabilidade estimada em meses, para cada EPI</t>
        </r>
      </text>
    </comment>
    <comment ref="D235" authorId="0" shapeId="0">
      <text>
        <r>
          <rPr>
            <sz val="10"/>
            <color rgb="FF000000"/>
            <rFont val="Arial"/>
            <charset val="1"/>
          </rPr>
          <t>======
ID#AAABj5x5LmE
    (2025-05-20 16:59:23)
Informar o valor unitário estimado para aquisição de cada EPI</t>
        </r>
      </text>
    </comment>
    <comment ref="C236" authorId="0" shapeId="0">
      <text>
        <r>
          <rPr>
            <sz val="10"/>
            <color rgb="FF000000"/>
            <rFont val="Arial"/>
            <charset val="1"/>
          </rPr>
          <t>======
ID#AAABj5x5Loc
    (2025-05-20 16:59:23)
Informar a durabilidade estimada em meses, para cada EPI</t>
        </r>
      </text>
    </comment>
    <comment ref="D236" authorId="0" shapeId="0">
      <text>
        <r>
          <rPr>
            <sz val="10"/>
            <color rgb="FF000000"/>
            <rFont val="Arial"/>
            <charset val="1"/>
          </rPr>
          <t>======
ID#AAABj5x5LyQ
    (2025-05-20 16:59:23)
Informar o valor unitário estimado para aquisição de cada EPI</t>
        </r>
      </text>
    </comment>
    <comment ref="C237" authorId="0" shapeId="0">
      <text>
        <r>
          <rPr>
            <sz val="10"/>
            <color rgb="FF000000"/>
            <rFont val="Arial"/>
            <charset val="1"/>
          </rPr>
          <t>======
ID#AAABj5x5LW8
    (2025-05-20 16:59:22)
Informar a durabilidade estimada em meses, para cada EPI</t>
        </r>
      </text>
    </comment>
    <comment ref="D237" authorId="0" shapeId="0">
      <text>
        <r>
          <rPr>
            <sz val="10"/>
            <color rgb="FF000000"/>
            <rFont val="Arial"/>
            <charset val="1"/>
          </rPr>
          <t>======
ID#AAABj5x5LqQ
    (2025-05-20 16:59:23)
Informar o valor unitário estimado para aquisição de cada EPI</t>
        </r>
      </text>
    </comment>
    <comment ref="C238" authorId="0" shapeId="0">
      <text>
        <r>
          <rPr>
            <sz val="10"/>
            <color rgb="FF000000"/>
            <rFont val="Arial"/>
            <charset val="1"/>
          </rPr>
          <t>======
ID#AAABj5x5LVw
    (2025-05-20 16:59:22)
Informar a durabilidade estimada em meses, para cada EPI</t>
        </r>
      </text>
    </comment>
    <comment ref="D238" authorId="0" shapeId="0">
      <text>
        <r>
          <rPr>
            <sz val="10"/>
            <color rgb="FF000000"/>
            <rFont val="Arial"/>
            <charset val="1"/>
          </rPr>
          <t>======
ID#AAABj5x5LuM
    (2025-05-20 16:59:23)
Informar o valor unitário estimado para aquisição de cada EPI</t>
        </r>
      </text>
    </comment>
    <comment ref="C245" authorId="0" shapeId="0">
      <text>
        <r>
          <rPr>
            <sz val="10"/>
            <color rgb="FF000000"/>
            <rFont val="Arial"/>
            <charset val="1"/>
          </rPr>
          <t>======
ID#AAABj5x5LMs
    (2025-05-20 16:59:22)
Informar a durabilidade estimada em meses, para cada EPI</t>
        </r>
      </text>
    </comment>
    <comment ref="D245" authorId="0" shapeId="0">
      <text>
        <r>
          <rPr>
            <sz val="10"/>
            <color rgb="FF000000"/>
            <rFont val="Arial"/>
            <charset val="1"/>
          </rPr>
          <t>======
ID#AAABj5x5LZc
    (2025-05-20 16:59:22)
Informar o valor unitário estimado para aquisição de cada EPI</t>
        </r>
      </text>
    </comment>
    <comment ref="C246" authorId="0" shapeId="0">
      <text>
        <r>
          <rPr>
            <sz val="10"/>
            <color rgb="FF000000"/>
            <rFont val="Arial"/>
            <charset val="1"/>
          </rPr>
          <t>======
ID#AAABj5x5Lxg
    (2025-05-20 16:59:23)
Informar a durabilidade estimada em meses, para cada EPI</t>
        </r>
      </text>
    </comment>
    <comment ref="D246" authorId="0" shapeId="0">
      <text>
        <r>
          <rPr>
            <sz val="10"/>
            <color rgb="FF000000"/>
            <rFont val="Arial"/>
            <charset val="1"/>
          </rPr>
          <t>======
ID#AAABj5x5K6E
    (2025-05-20 16:59:22)
Informar o valor unitário estimado para aquisição de cada EPI</t>
        </r>
      </text>
    </comment>
    <comment ref="C247" authorId="0" shapeId="0">
      <text>
        <r>
          <rPr>
            <sz val="10"/>
            <color rgb="FF000000"/>
            <rFont val="Arial"/>
            <charset val="1"/>
          </rPr>
          <t>======
ID#AAABj5x5LhU
    (2025-05-20 16:59:22)
Informar a durabilidade estimada em meses, para cada EPI</t>
        </r>
      </text>
    </comment>
    <comment ref="D247" authorId="0" shapeId="0">
      <text>
        <r>
          <rPr>
            <sz val="10"/>
            <color rgb="FF000000"/>
            <rFont val="Arial"/>
            <charset val="1"/>
          </rPr>
          <t>======
ID#AAABj5x5K7s
    (2025-05-20 16:59:22)
Informar o valor unitário estimado para aquisição de cada EPI</t>
        </r>
      </text>
    </comment>
    <comment ref="C248" authorId="0" shapeId="0">
      <text>
        <r>
          <rPr>
            <sz val="10"/>
            <color rgb="FF000000"/>
            <rFont val="Arial"/>
            <charset val="1"/>
          </rPr>
          <t>======
ID#AAABj5x5LW0
    (2025-05-20 16:59:22)
Informar a durabilidade estimada em meses, para cada EPI</t>
        </r>
      </text>
    </comment>
    <comment ref="D248" authorId="0" shapeId="0">
      <text>
        <r>
          <rPr>
            <sz val="10"/>
            <color rgb="FF000000"/>
            <rFont val="Arial"/>
            <charset val="1"/>
          </rPr>
          <t>======
ID#AAABj5x5LaI
    (2025-05-20 16:59:22)
Informar o valor unitário estimado para aquisição de cada EPI</t>
        </r>
      </text>
    </comment>
    <comment ref="C249" authorId="0" shapeId="0">
      <text>
        <r>
          <rPr>
            <sz val="10"/>
            <color rgb="FF000000"/>
            <rFont val="Arial"/>
            <charset val="1"/>
          </rPr>
          <t>======
ID#AAABj5x5K78
    (2025-05-20 16:59:22)
Informar a durabilidade estimada em meses, para cada EPI</t>
        </r>
      </text>
    </comment>
    <comment ref="D249" authorId="0" shapeId="0">
      <text>
        <r>
          <rPr>
            <sz val="10"/>
            <color rgb="FF000000"/>
            <rFont val="Arial"/>
            <charset val="1"/>
          </rPr>
          <t>======
ID#AAABj5x5LK4
    (2025-05-20 16:59:22)
Informar o valor unitário estimado para aquisição de cada EPI</t>
        </r>
      </text>
    </comment>
    <comment ref="C250" authorId="0" shapeId="0">
      <text>
        <r>
          <rPr>
            <sz val="10"/>
            <color rgb="FF000000"/>
            <rFont val="Arial"/>
            <charset val="1"/>
          </rPr>
          <t>======
ID#AAABj5x5K7k
    (2025-05-20 16:59:22)
Informar a durabilidade estimada em meses, para cada EPI</t>
        </r>
      </text>
    </comment>
    <comment ref="D250" authorId="0" shapeId="0">
      <text>
        <r>
          <rPr>
            <sz val="10"/>
            <color rgb="FF000000"/>
            <rFont val="Arial"/>
            <charset val="1"/>
          </rPr>
          <t>======
ID#AAABj5x5LIg
    (2025-05-20 16:59:22)
Informar o valor unitário estimado para aquisição de cada EPI</t>
        </r>
      </text>
    </comment>
    <comment ref="C257" authorId="0" shapeId="0">
      <text>
        <r>
          <rPr>
            <sz val="10"/>
            <color rgb="FF000000"/>
            <rFont val="Arial"/>
            <charset val="1"/>
          </rPr>
          <t>======
ID#AAABj5x5LU4
    (2025-05-20 16:59:22)
Informar a durabilidade estimada em meses, para cada EPI</t>
        </r>
      </text>
    </comment>
    <comment ref="D257" authorId="0" shapeId="0">
      <text>
        <r>
          <rPr>
            <sz val="10"/>
            <color rgb="FF000000"/>
            <rFont val="Arial"/>
            <charset val="1"/>
          </rPr>
          <t>======
ID#AAABj5x5LyI
    (2025-05-20 16:59:23)
Informar o valor unitário estimado para aquisição de cada EPI</t>
        </r>
      </text>
    </comment>
    <comment ref="C258" authorId="0" shapeId="0">
      <text>
        <r>
          <rPr>
            <sz val="10"/>
            <color rgb="FF000000"/>
            <rFont val="Arial"/>
            <charset val="1"/>
          </rPr>
          <t>======
ID#AAABj5x5LVc
    (2025-05-20 16:59:22)
Informar a durabilidade estimada em meses, para cada EPI</t>
        </r>
      </text>
    </comment>
    <comment ref="D258" authorId="0" shapeId="0">
      <text>
        <r>
          <rPr>
            <sz val="10"/>
            <color rgb="FF000000"/>
            <rFont val="Arial"/>
            <charset val="1"/>
          </rPr>
          <t>======
ID#AAABj5x5LdI
    (2025-05-20 16:59:22)
Informar o valor unitário estimado para aquisição de cada EPI</t>
        </r>
      </text>
    </comment>
    <comment ref="C259" authorId="0" shapeId="0">
      <text>
        <r>
          <rPr>
            <sz val="10"/>
            <color rgb="FF000000"/>
            <rFont val="Arial"/>
            <charset val="1"/>
          </rPr>
          <t>======
ID#AAABj5x5LKI
    (2025-05-20 16:59:22)
Informar a durabilidade estimada em meses, para cada EPI</t>
        </r>
      </text>
    </comment>
    <comment ref="D259" authorId="0" shapeId="0">
      <text>
        <r>
          <rPr>
            <sz val="10"/>
            <color rgb="FF000000"/>
            <rFont val="Arial"/>
            <charset val="1"/>
          </rPr>
          <t>======
ID#AAABj5x5LRo
    (2025-05-20 16:59:22)
Informar o valor unitário estimado para aquisição de cada EPI</t>
        </r>
      </text>
    </comment>
    <comment ref="C260" authorId="0" shapeId="0">
      <text>
        <r>
          <rPr>
            <sz val="10"/>
            <color rgb="FF000000"/>
            <rFont val="Arial"/>
            <charset val="1"/>
          </rPr>
          <t>======
ID#AAABj5x5Lyc
    (2025-05-20 16:59:23)
Informar a durabilidade estimada em meses, para cada EPI</t>
        </r>
      </text>
    </comment>
    <comment ref="D260" authorId="0" shapeId="0">
      <text>
        <r>
          <rPr>
            <sz val="10"/>
            <color rgb="FF000000"/>
            <rFont val="Arial"/>
            <charset val="1"/>
          </rPr>
          <t>======
ID#AAABj5x5Lt0
    (2025-05-20 16:59:23)
Informar o valor unitário estimado para aquisição de cada EPI</t>
        </r>
      </text>
    </comment>
    <comment ref="C261" authorId="0" shapeId="0">
      <text>
        <r>
          <rPr>
            <sz val="10"/>
            <color rgb="FF000000"/>
            <rFont val="Arial"/>
            <charset val="1"/>
          </rPr>
          <t>======
ID#AAABj5x5LMw
    (2025-05-20 16:59:22)
Informar a durabilidade estimada em meses, para cada EPI</t>
        </r>
      </text>
    </comment>
    <comment ref="D261" authorId="0" shapeId="0">
      <text>
        <r>
          <rPr>
            <sz val="10"/>
            <color rgb="FF000000"/>
            <rFont val="Arial"/>
            <charset val="1"/>
          </rPr>
          <t>======
ID#AAABj5x5LNc
    (2025-05-20 16:59:22)
Informar o valor unitário estimado para aquisição de cada EPI</t>
        </r>
      </text>
    </comment>
    <comment ref="C262" authorId="0" shapeId="0">
      <text>
        <r>
          <rPr>
            <sz val="10"/>
            <color rgb="FF000000"/>
            <rFont val="Arial"/>
            <charset val="1"/>
          </rPr>
          <t>======
ID#AAABj5x5LL4
    (2025-05-20 16:59:22)
Informar a durabilidade estimada em meses, para cada EPI</t>
        </r>
      </text>
    </comment>
    <comment ref="D262" authorId="0" shapeId="0">
      <text>
        <r>
          <rPr>
            <sz val="10"/>
            <color rgb="FF000000"/>
            <rFont val="Arial"/>
            <charset val="1"/>
          </rPr>
          <t>======
ID#AAABj5x5LnA
    (2025-05-20 16:59:23)
Informar o valor unitário estimado para aquisição de cada EPI</t>
        </r>
      </text>
    </comment>
    <comment ref="C263" authorId="0" shapeId="0">
      <text>
        <r>
          <rPr>
            <sz val="10"/>
            <color rgb="FF000000"/>
            <rFont val="Arial"/>
            <charset val="1"/>
          </rPr>
          <t>======
ID#AAABj5x5Lcc
    (2025-05-20 16:59:22)
Informar a durabilidade estimada em meses, para cada EPI</t>
        </r>
      </text>
    </comment>
    <comment ref="D263" authorId="0" shapeId="0">
      <text>
        <r>
          <rPr>
            <sz val="10"/>
            <color rgb="FF000000"/>
            <rFont val="Arial"/>
            <charset val="1"/>
          </rPr>
          <t>======
ID#AAABj5x5K8A
    (2025-05-20 16:59:22)
Informar o valor unitário estimado para aquisição de cada EPI</t>
        </r>
      </text>
    </comment>
    <comment ref="C264" authorId="0" shapeId="0">
      <text>
        <r>
          <rPr>
            <sz val="10"/>
            <color rgb="FF000000"/>
            <rFont val="Arial"/>
            <charset val="1"/>
          </rPr>
          <t>======
ID#AAABj5x5Lo0
    (2025-05-20 16:59:23)
Informar a durabilidade estimada em meses, para cada EPI</t>
        </r>
      </text>
    </comment>
    <comment ref="D264" authorId="0" shapeId="0">
      <text>
        <r>
          <rPr>
            <sz val="10"/>
            <color rgb="FF000000"/>
            <rFont val="Arial"/>
            <charset val="1"/>
          </rPr>
          <t>======
ID#AAABj5x5LXg
    (2025-05-20 16:59:22)
Informar o valor unitário estimado para aquisição de cada EPI</t>
        </r>
      </text>
    </comment>
    <comment ref="C265" authorId="0" shapeId="0">
      <text>
        <r>
          <rPr>
            <sz val="10"/>
            <color rgb="FF000000"/>
            <rFont val="Arial"/>
            <charset val="1"/>
          </rPr>
          <t>======
ID#AAABj5x5LO4
    (2025-05-20 16:59:22)
Informar a durabilidade estimada em meses, para cada EPI</t>
        </r>
      </text>
    </comment>
    <comment ref="D265" authorId="0" shapeId="0">
      <text>
        <r>
          <rPr>
            <sz val="10"/>
            <color rgb="FF000000"/>
            <rFont val="Arial"/>
            <charset val="1"/>
          </rPr>
          <t>======
ID#AAABj5x5LTk
    (2025-05-20 16:59:22)
Informar o valor unitário estimado para aquisição de cada EPI</t>
        </r>
      </text>
    </comment>
    <comment ref="D277" authorId="0" shapeId="0">
      <text>
        <r>
          <rPr>
            <sz val="10"/>
            <color rgb="FF000000"/>
            <rFont val="Arial"/>
            <charset val="1"/>
          </rPr>
          <t>======
ID#AAABj5x5Lgs
    (2025-05-20 16:59:22)
Informar o preço unitário do chassis do caminhão de coleta</t>
        </r>
      </text>
    </comment>
    <comment ref="C278" authorId="0" shapeId="0">
      <text>
        <r>
          <rPr>
            <sz val="10"/>
            <color rgb="FF000000"/>
            <rFont val="Arial"/>
            <charset val="1"/>
          </rPr>
          <t>======
ID#AAABj5x5LXw
    (2025-05-20 16:59:22)
Informar a vida útil estimada para o caminhão, em anos</t>
        </r>
      </text>
    </comment>
    <comment ref="C279" authorId="0" shapeId="0">
      <text>
        <r>
          <rPr>
            <sz val="10"/>
            <color rgb="FF000000"/>
            <rFont val="Arial"/>
            <charset val="1"/>
          </rPr>
          <t>======
ID#AAABj5x5LLo
    (2025-05-20 16:59:22)
Na elaboração do orçamento-base da licitação, informar 0 (zero). Na proposta da licitante, informar a idade do veículo proposto.</t>
        </r>
      </text>
    </comment>
    <comment ref="C280" authorId="0" shapeId="0">
      <text>
        <r>
          <rPr>
            <sz val="10"/>
            <color rgb="FF000000"/>
            <rFont val="Arial"/>
            <charset val="1"/>
          </rPr>
          <t>======
ID#AAABj5x5LVg
    (2025-05-20 16:59:22)
Informar o valor da depreciação do caminhão, adotando o valor sugerido pelo TCE ou outro valor estimado</t>
        </r>
      </text>
    </comment>
    <comment ref="C283" authorId="0" shapeId="0">
      <text>
        <r>
          <rPr>
            <sz val="10"/>
            <color rgb="FF000000"/>
            <rFont val="Arial"/>
            <charset val="1"/>
          </rPr>
          <t>======
ID#AAABj5x5Lr0
    (2025-05-20 16:59:23)
Informar a quantidade de caminhões compactadores do respectivo modelo</t>
        </r>
      </text>
    </comment>
    <comment ref="C289" authorId="0" shapeId="0">
      <text>
        <r>
          <rPr>
            <sz val="10"/>
            <color rgb="FF000000"/>
            <rFont val="Arial"/>
            <charset val="1"/>
          </rPr>
          <t>======
ID#AAABj5x5K6s
    (2025-05-20 16:59:22)
Informar a taxa de juros anual para remuneração do capital. Recomenda-se o uso da Taxa SELIC</t>
        </r>
      </text>
    </comment>
    <comment ref="B307" authorId="0" shapeId="0">
      <text>
        <r>
          <rPr>
            <sz val="10"/>
            <color rgb="FF000000"/>
            <rFont val="Arial"/>
            <charset val="1"/>
          </rPr>
          <t>======
ID#AAABj5x5LkY
    (2025-05-20 16:59:23)
Informar a quilometragem mensal percorrida, de acordo com o projeto básico</t>
        </r>
      </text>
    </comment>
    <comment ref="C311" authorId="0" shapeId="0">
      <text>
        <r>
          <rPr>
            <sz val="10"/>
            <color rgb="FF000000"/>
            <rFont val="Arial"/>
            <charset val="1"/>
          </rPr>
          <t>======
ID#AAABj5x5LNE
    (2025-05-20 16:59:22)
Informar o consumo estimado do veículo em litros/mês</t>
        </r>
      </text>
    </comment>
    <comment ref="D317" authorId="0" shapeId="0">
      <text>
        <r>
          <rPr>
            <sz val="10"/>
            <color rgb="FF000000"/>
            <rFont val="Arial"/>
            <charset val="1"/>
          </rPr>
          <t>======
ID#AAABj5x5LpU
    (2025-05-20 16:59:23)
Informar o valor do veículo novo</t>
        </r>
      </text>
    </comment>
    <comment ref="C325" authorId="0" shapeId="0">
      <text>
        <r>
          <rPr>
            <sz val="10"/>
            <color rgb="FF000000"/>
            <rFont val="Arial"/>
            <charset val="1"/>
          </rPr>
          <t>======
ID#AAABj5x5LgE
    (2025-05-20 16:59:22)
Informar a durabilidade média dos pneus considerando todas as recapagens, em km</t>
        </r>
      </text>
    </comment>
    <comment ref="D354" authorId="0" shapeId="0">
      <text>
        <r>
          <rPr>
            <sz val="10"/>
            <color rgb="FF000000"/>
            <rFont val="Arial"/>
            <charset val="1"/>
          </rPr>
          <t>======
ID#AAABj5x5K7c
    (2025-05-20 16:59:22)
Informar o preço unitário do chassis do caminhão de coleta</t>
        </r>
      </text>
    </comment>
    <comment ref="C355" authorId="0" shapeId="0">
      <text>
        <r>
          <rPr>
            <sz val="10"/>
            <color rgb="FF000000"/>
            <rFont val="Arial"/>
            <charset val="1"/>
          </rPr>
          <t>======
ID#AAABj5x5LS4
    (2025-05-20 16:59:22)
Informar a vida útil estimada para o caminhão, em anos</t>
        </r>
      </text>
    </comment>
    <comment ref="C356" authorId="0" shapeId="0">
      <text>
        <r>
          <rPr>
            <sz val="10"/>
            <color rgb="FF000000"/>
            <rFont val="Arial"/>
            <charset val="1"/>
          </rPr>
          <t>======
ID#AAABj5x5Lbw
    (2025-05-20 16:59:22)
Na elaboração do orçamento-base da licitação, informar 0 (zero). Na proposta da licitante, informar a idade do veículo proposto.</t>
        </r>
      </text>
    </comment>
    <comment ref="C357" authorId="0" shapeId="0">
      <text>
        <r>
          <rPr>
            <sz val="10"/>
            <color rgb="FF000000"/>
            <rFont val="Arial"/>
            <charset val="1"/>
          </rPr>
          <t>======
ID#AAABj5x5Ly0
    (2025-05-20 16:59:23)
Informar o valor da depreciação do caminhão, adotando o valor sugerido pelo TCE ou outro valor estimado</t>
        </r>
      </text>
    </comment>
    <comment ref="C360" authorId="0" shapeId="0">
      <text>
        <r>
          <rPr>
            <sz val="10"/>
            <color rgb="FF000000"/>
            <rFont val="Arial"/>
            <charset val="1"/>
          </rPr>
          <t>======
ID#AAABj5x5Lpk
    (2025-05-20 16:59:23)
Informar a quantidade de caminhões compactadores do respectivo modelo</t>
        </r>
      </text>
    </comment>
    <comment ref="C366" authorId="0" shapeId="0">
      <text>
        <r>
          <rPr>
            <sz val="10"/>
            <color rgb="FF000000"/>
            <rFont val="Arial"/>
            <charset val="1"/>
          </rPr>
          <t>======
ID#AAABj5x5Lm0
    (2025-05-20 16:59:23)
Informar a taxa de juros anual para remuneração do capital. Recomenda-se o uso da Taxa SELIC</t>
        </r>
      </text>
    </comment>
    <comment ref="B384" authorId="0" shapeId="0">
      <text>
        <r>
          <rPr>
            <sz val="10"/>
            <color rgb="FF000000"/>
            <rFont val="Arial"/>
            <charset val="1"/>
          </rPr>
          <t>======
ID#AAABj5x5LhA
    (2025-05-20 16:59:22)
Informar a quilometragem mensal percorrida, de acordo com o projeto básico</t>
        </r>
      </text>
    </comment>
    <comment ref="C388" authorId="0" shapeId="0">
      <text>
        <r>
          <rPr>
            <sz val="10"/>
            <color rgb="FF000000"/>
            <rFont val="Arial"/>
            <charset val="1"/>
          </rPr>
          <t>======
ID#AAABj5x5Lwk
    (2025-05-20 16:59:23)
Informar o consumo estimado do veículo em litros/mês</t>
        </r>
      </text>
    </comment>
    <comment ref="D394" authorId="0" shapeId="0">
      <text>
        <r>
          <rPr>
            <sz val="10"/>
            <color rgb="FF000000"/>
            <rFont val="Arial"/>
            <charset val="1"/>
          </rPr>
          <t>======
ID#AAABj5x5LQE
    (2025-05-20 16:59:22)
Informar o custo de manutenção em R$/km rodado</t>
        </r>
      </text>
    </comment>
    <comment ref="C399" authorId="0" shapeId="0">
      <text>
        <r>
          <rPr>
            <sz val="10"/>
            <color rgb="FF000000"/>
            <rFont val="Arial"/>
            <charset val="1"/>
          </rPr>
          <t>======
ID#AAABj5x5K7w
    (2025-05-20 16:59:22)
Informar a quantidade de pneus novos de 1 caminhão</t>
        </r>
      </text>
    </comment>
    <comment ref="C402" authorId="0" shapeId="0">
      <text>
        <r>
          <rPr>
            <sz val="10"/>
            <color rgb="FF000000"/>
            <rFont val="Arial"/>
            <charset val="1"/>
          </rPr>
          <t>======
ID#AAABj5x5LnE
    (2025-05-20 16:59:23)
Informar a durabilidade média dos pneus considerando todas as recapagens, em km</t>
        </r>
      </text>
    </comment>
    <comment ref="D427" authorId="0" shapeId="0">
      <text>
        <r>
          <rPr>
            <sz val="10"/>
            <color rgb="FF000000"/>
            <rFont val="Arial"/>
            <charset val="1"/>
          </rPr>
          <t>======
ID#AAABj5x5Lco
    (2025-05-20 16:59:22)
Informar o preço unitário do chassis do caminhão de coleta</t>
        </r>
      </text>
    </comment>
    <comment ref="C428" authorId="0" shapeId="0">
      <text>
        <r>
          <rPr>
            <sz val="10"/>
            <color rgb="FF000000"/>
            <rFont val="Arial"/>
            <charset val="1"/>
          </rPr>
          <t>======
ID#AAABj5x5LPE
    (2025-05-20 16:59:22)
Informar a vida útil estimada para o caminhão, em anos</t>
        </r>
      </text>
    </comment>
    <comment ref="C429" authorId="0" shapeId="0">
      <text>
        <r>
          <rPr>
            <sz val="10"/>
            <color rgb="FF000000"/>
            <rFont val="Arial"/>
            <charset val="1"/>
          </rPr>
          <t>======
ID#AAABj5x5LqY
    (2025-05-20 16:59:23)
Na elaboração do orçamento-base da licitação, informar 0 (zero). Na proposta da licitante, informar a idade do veículo proposto.</t>
        </r>
      </text>
    </comment>
    <comment ref="C430" authorId="0" shapeId="0">
      <text>
        <r>
          <rPr>
            <sz val="10"/>
            <color rgb="FF000000"/>
            <rFont val="Arial"/>
            <charset val="1"/>
          </rPr>
          <t>======
ID#AAABj5x5LII
    (2025-05-20 16:59:22)
Informar o valor da depreciação do caminhão, adotando o valor sugerido pelo TCE ou outro valor estimado</t>
        </r>
      </text>
    </comment>
    <comment ref="D432" authorId="0" shapeId="0">
      <text>
        <r>
          <rPr>
            <sz val="10"/>
            <color rgb="FF000000"/>
            <rFont val="Arial"/>
            <charset val="1"/>
          </rPr>
          <t>======
ID#AAABj5x5LPs
    (2025-05-20 16:59:22)
Informar o preço unitário do equipamento compactador</t>
        </r>
      </text>
    </comment>
    <comment ref="C433" authorId="0" shapeId="0">
      <text>
        <r>
          <rPr>
            <sz val="10"/>
            <color rgb="FF000000"/>
            <rFont val="Arial"/>
            <charset val="1"/>
          </rPr>
          <t>======
ID#AAABj5x5Lg4
    (2025-05-20 16:59:22)
Informar a vida útil estimada para o compactador, em anos</t>
        </r>
      </text>
    </comment>
    <comment ref="C434" authorId="0" shapeId="0">
      <text>
        <r>
          <rPr>
            <sz val="10"/>
            <color rgb="FF000000"/>
            <rFont val="Arial"/>
            <charset val="1"/>
          </rPr>
          <t>======
ID#AAABj5x5LxM
    (2025-05-20 16:59:23)
Na elaboração do orçamento-base da licitação, informar 0 (zero). Na proposta da licitante, informar a idade do compactador proposto.</t>
        </r>
      </text>
    </comment>
    <comment ref="C435" authorId="0" shapeId="0">
      <text>
        <r>
          <rPr>
            <sz val="10"/>
            <color rgb="FF000000"/>
            <rFont val="Arial"/>
            <charset val="1"/>
          </rPr>
          <t>======
ID#AAABj5x5LMc
    (2025-05-20 16:59:22)
Informar o valor da depreciação do compactador, adotando o valor sugerido pelo TCE ou outro valor estimado</t>
        </r>
      </text>
    </comment>
    <comment ref="C438" authorId="0" shapeId="0">
      <text>
        <r>
          <rPr>
            <sz val="10"/>
            <color rgb="FF000000"/>
            <rFont val="Arial"/>
            <charset val="1"/>
          </rPr>
          <t>======
ID#AAABj5x5Lv0
    (2025-05-20 16:59:23)
Informar a quantidade de caminhões compactadores do respectivo modelo</t>
        </r>
      </text>
    </comment>
    <comment ref="C444" authorId="0" shapeId="0">
      <text>
        <r>
          <rPr>
            <sz val="10"/>
            <color rgb="FF000000"/>
            <rFont val="Arial"/>
            <charset val="1"/>
          </rPr>
          <t>======
ID#AAABj5x5LNQ
    (2025-05-20 16:59:22)
Informar a taxa de juros anual para remuneração do capital. Recomenda-se o uso da Taxa SELIC</t>
        </r>
      </text>
    </comment>
    <comment ref="D460" authorId="0" shapeId="0">
      <text>
        <r>
          <rPr>
            <sz val="10"/>
            <color rgb="FF000000"/>
            <rFont val="Arial"/>
            <charset val="1"/>
          </rPr>
          <t>======
ID#AAABj5x5LOs
    (2025-05-20 16:59:22)
Informar o valor do seguro obrigatório e licenciamento anual de um caminhão</t>
        </r>
      </text>
    </comment>
    <comment ref="B467" authorId="0" shapeId="0">
      <text>
        <r>
          <rPr>
            <sz val="10"/>
            <color rgb="FF000000"/>
            <rFont val="Arial"/>
            <charset val="1"/>
          </rPr>
          <t>======
ID#AAABj5x5LWQ
    (2025-05-20 16:59:22)
Informar a quilometragem mensal percorrida, de acordo com o projeto básico</t>
        </r>
      </text>
    </comment>
    <comment ref="C471" authorId="0" shapeId="0">
      <text>
        <r>
          <rPr>
            <sz val="10"/>
            <color rgb="FF000000"/>
            <rFont val="Arial"/>
            <charset val="1"/>
          </rPr>
          <t>======
ID#AAABj5x5LLw
    (2025-05-20 16:59:22)
Informar o consumo estimado do veículo em litros/mês</t>
        </r>
      </text>
    </comment>
    <comment ref="D477" authorId="0" shapeId="0">
      <text>
        <r>
          <rPr>
            <sz val="10"/>
            <color rgb="FF000000"/>
            <rFont val="Arial"/>
            <charset val="1"/>
          </rPr>
          <t>======
ID#AAABj5x5LXs
    (2025-05-20 16:59:22)
Informar o custo de manutenção em R$/km rodado</t>
        </r>
      </text>
    </comment>
    <comment ref="C482" authorId="0" shapeId="0">
      <text>
        <r>
          <rPr>
            <sz val="10"/>
            <color rgb="FF000000"/>
            <rFont val="Arial"/>
            <charset val="1"/>
          </rPr>
          <t>======
ID#AAABj5x5Ldo
    (2025-05-20 16:59:22)
Informar a quantidade de pneus novos de 1 caminhão</t>
        </r>
      </text>
    </comment>
    <comment ref="C485" authorId="0" shapeId="0">
      <text>
        <r>
          <rPr>
            <sz val="10"/>
            <color rgb="FF000000"/>
            <rFont val="Arial"/>
            <charset val="1"/>
          </rPr>
          <t>======
ID#AAABj5x5LXQ
    (2025-05-20 16:59:22)
Informar a durabilidade média dos pneus considerando todas as recapagens, em km</t>
        </r>
      </text>
    </comment>
    <comment ref="C488" authorId="0" shapeId="0">
      <text>
        <r>
          <rPr>
            <sz val="10"/>
            <color rgb="FF000000"/>
            <rFont val="Arial"/>
            <charset val="1"/>
          </rPr>
          <t>======
ID#AAABj5x5La4
    (2025-05-20 16:59:22)
Informar a quantidade de pneus novos de 1 caminhão</t>
        </r>
      </text>
    </comment>
    <comment ref="C491" authorId="0" shapeId="0">
      <text>
        <r>
          <rPr>
            <sz val="10"/>
            <color rgb="FF000000"/>
            <rFont val="Arial"/>
            <charset val="1"/>
          </rPr>
          <t>======
ID#AAABj5x5Lic
    (2025-05-20 16:59:23)
Informar a durabilidade média dos pneus considerando todas as recapagens, em km</t>
        </r>
      </text>
    </comment>
    <comment ref="D510" authorId="0" shapeId="0">
      <text>
        <r>
          <rPr>
            <sz val="10"/>
            <color rgb="FF000000"/>
            <rFont val="Arial"/>
            <charset val="1"/>
          </rPr>
          <t>======
ID#AAABj5x5Lzc
    (2025-05-20 16:59:23)
Informar o preço unitário do chassis do caminhão de coleta</t>
        </r>
      </text>
    </comment>
    <comment ref="C511" authorId="0" shapeId="0">
      <text>
        <r>
          <rPr>
            <sz val="10"/>
            <color rgb="FF000000"/>
            <rFont val="Arial"/>
            <charset val="1"/>
          </rPr>
          <t>======
ID#AAABj5x5K9o
    (2025-05-20 16:59:22)
Informar a vida útil estimada para o caminhão, em anos</t>
        </r>
      </text>
    </comment>
    <comment ref="C512" authorId="0" shapeId="0">
      <text>
        <r>
          <rPr>
            <sz val="10"/>
            <color rgb="FF000000"/>
            <rFont val="Arial"/>
            <charset val="1"/>
          </rPr>
          <t>======
ID#AAABj5x5Los
    (2025-05-20 16:59:23)
Na elaboração do orçamento-base da licitação, informar 0 (zero). Na proposta da licitante, informar a idade do veículo proposto.</t>
        </r>
      </text>
    </comment>
    <comment ref="C513" authorId="0" shapeId="0">
      <text>
        <r>
          <rPr>
            <sz val="10"/>
            <color rgb="FF000000"/>
            <rFont val="Arial"/>
            <charset val="1"/>
          </rPr>
          <t>======
ID#AAABj5x5LQM
    (2025-05-20 16:59:22)
Informar o valor da depreciação do caminhão, adotando o valor sugerido pelo TCE ou outro valor estimado</t>
        </r>
      </text>
    </comment>
    <comment ref="D515" authorId="0" shapeId="0">
      <text>
        <r>
          <rPr>
            <sz val="10"/>
            <color rgb="FF000000"/>
            <rFont val="Arial"/>
            <charset val="1"/>
          </rPr>
          <t>======
ID#AAABj5x5Llg
    (2025-05-20 16:59:23)
Informar o preço unitário do equipamento compactador</t>
        </r>
      </text>
    </comment>
    <comment ref="C516" authorId="0" shapeId="0">
      <text>
        <r>
          <rPr>
            <sz val="10"/>
            <color rgb="FF000000"/>
            <rFont val="Arial"/>
            <charset val="1"/>
          </rPr>
          <t>======
ID#AAABj5x5Lo8
    (2025-05-20 16:59:23)
Informar a vida útil estimada para o compactador, em anos</t>
        </r>
      </text>
    </comment>
    <comment ref="C517" authorId="0" shapeId="0">
      <text>
        <r>
          <rPr>
            <sz val="10"/>
            <color rgb="FF000000"/>
            <rFont val="Arial"/>
            <charset val="1"/>
          </rPr>
          <t>======
ID#AAABj5x5LnQ
    (2025-05-20 16:59:23)
Na elaboração do orçamento-base da licitação, informar 0 (zero). Na proposta da licitante, informar a idade do compactador proposto.</t>
        </r>
      </text>
    </comment>
    <comment ref="C518" authorId="0" shapeId="0">
      <text>
        <r>
          <rPr>
            <sz val="10"/>
            <color rgb="FF000000"/>
            <rFont val="Arial"/>
            <charset val="1"/>
          </rPr>
          <t>======
ID#AAABj5x5LLg
    (2025-05-20 16:59:22)
Informar o valor da depreciação do compactador, adotando o valor sugerido pelo TCE ou outro valor estimado</t>
        </r>
      </text>
    </comment>
    <comment ref="C521" authorId="0" shapeId="0">
      <text>
        <r>
          <rPr>
            <sz val="10"/>
            <color rgb="FF000000"/>
            <rFont val="Arial"/>
            <charset val="1"/>
          </rPr>
          <t>======
ID#AAABj5x5LJY
    (2025-05-20 16:59:22)
Informar a quantidade de caminhões compactadores do respectivo modelo</t>
        </r>
      </text>
    </comment>
    <comment ref="C527" authorId="0" shapeId="0">
      <text>
        <r>
          <rPr>
            <sz val="10"/>
            <color rgb="FF000000"/>
            <rFont val="Arial"/>
            <charset val="1"/>
          </rPr>
          <t>======
ID#AAABj5x5K9A
    (2025-05-20 16:59:22)
Informar a taxa de juros anual para remuneração do capital. Recomenda-se o uso da Taxa SELIC</t>
        </r>
      </text>
    </comment>
    <comment ref="D543" authorId="0" shapeId="0">
      <text>
        <r>
          <rPr>
            <sz val="10"/>
            <color rgb="FF000000"/>
            <rFont val="Arial"/>
            <charset val="1"/>
          </rPr>
          <t>======
ID#AAABj5x5LlY
    (2025-05-20 16:59:23)
Informar o valor do seguro obrigatório e licenciamento anual de um caminhão</t>
        </r>
      </text>
    </comment>
    <comment ref="B550" authorId="0" shapeId="0">
      <text>
        <r>
          <rPr>
            <sz val="10"/>
            <color rgb="FF000000"/>
            <rFont val="Arial"/>
            <charset val="1"/>
          </rPr>
          <t>======
ID#AAABj5x5LME
    (2025-05-20 16:59:22)
Informar a quilometragem mensal percorrida, de acordo com o projeto básico</t>
        </r>
      </text>
    </comment>
    <comment ref="C554" authorId="0" shapeId="0">
      <text>
        <r>
          <rPr>
            <sz val="10"/>
            <color rgb="FF000000"/>
            <rFont val="Arial"/>
            <charset val="1"/>
          </rPr>
          <t>======
ID#AAABj5x5LSg
    (2025-05-20 16:59:22)
Informar o consumo estimado do veículo em litros/mês</t>
        </r>
      </text>
    </comment>
    <comment ref="D560" authorId="0" shapeId="0">
      <text>
        <r>
          <rPr>
            <sz val="10"/>
            <color rgb="FF000000"/>
            <rFont val="Arial"/>
            <charset val="1"/>
          </rPr>
          <t>======
ID#AAABj5x5LrM
    (2025-05-20 16:59:23)
Informar o custo de manutenção em R$/km rodado</t>
        </r>
      </text>
    </comment>
    <comment ref="C565" authorId="0" shapeId="0">
      <text>
        <r>
          <rPr>
            <sz val="10"/>
            <color rgb="FF000000"/>
            <rFont val="Arial"/>
            <charset val="1"/>
          </rPr>
          <t>======
ID#AAABj5x5LLs
    (2025-05-20 16:59:22)
Informar a quantidade de pneus novos de 1 caminhão</t>
        </r>
      </text>
    </comment>
    <comment ref="C566" authorId="0" shapeId="0">
      <text>
        <r>
          <rPr>
            <sz val="10"/>
            <color rgb="FF000000"/>
            <rFont val="Arial"/>
            <charset val="1"/>
          </rPr>
          <t>======
ID#AAABj5x5LKE
    (2025-05-20 16:59:22)
Informar o número de recapagens por pneu</t>
        </r>
      </text>
    </comment>
    <comment ref="C568" authorId="0" shapeId="0">
      <text>
        <r>
          <rPr>
            <sz val="10"/>
            <color rgb="FF000000"/>
            <rFont val="Arial"/>
            <charset val="1"/>
          </rPr>
          <t>======
ID#AAABj5x5Ll4
    (2025-05-20 16:59:23)
Informar a durabilidade média dos pneus considerando todas as recapagens, em km</t>
        </r>
      </text>
    </comment>
    <comment ref="C571" authorId="0" shapeId="0">
      <text>
        <r>
          <rPr>
            <sz val="10"/>
            <color rgb="FF000000"/>
            <rFont val="Arial"/>
            <charset val="1"/>
          </rPr>
          <t>======
ID#AAABj5x5K-g
    (2025-05-20 16:59:22)
Informar a quantidade de pneus novos de 1 caminhão</t>
        </r>
      </text>
    </comment>
    <comment ref="C572" authorId="0" shapeId="0">
      <text>
        <r>
          <rPr>
            <sz val="10"/>
            <color rgb="FF000000"/>
            <rFont val="Arial"/>
            <charset val="1"/>
          </rPr>
          <t>======
ID#AAABj5x5K68
    (2025-05-20 16:59:22)
Informar o número de recapagens por pneu</t>
        </r>
      </text>
    </comment>
    <comment ref="C574" authorId="0" shapeId="0">
      <text>
        <r>
          <rPr>
            <sz val="10"/>
            <color rgb="FF000000"/>
            <rFont val="Arial"/>
            <charset val="1"/>
          </rPr>
          <t>======
ID#AAABj5x5LT0
    (2025-05-20 16:59:22)
Informar a durabilidade média dos pneus considerando todas as recapagens, em km</t>
        </r>
      </text>
    </comment>
    <comment ref="D593" authorId="0" shapeId="0">
      <text>
        <r>
          <rPr>
            <sz val="10"/>
            <color rgb="FF000000"/>
            <rFont val="Arial"/>
            <charset val="1"/>
          </rPr>
          <t>======
ID#AAABj5x5LMQ
    (2025-05-20 16:59:22)
Informar o preço unitário do chassis do caminhão de coleta</t>
        </r>
      </text>
    </comment>
    <comment ref="C594" authorId="0" shapeId="0">
      <text>
        <r>
          <rPr>
            <sz val="10"/>
            <color rgb="FF000000"/>
            <rFont val="Arial"/>
            <charset val="1"/>
          </rPr>
          <t>======
ID#AAABj5x5Lzw
    (2025-05-20 16:59:23)
Informar a vida útil estimada para o caminhão, em anos</t>
        </r>
      </text>
    </comment>
    <comment ref="C595" authorId="0" shapeId="0">
      <text>
        <r>
          <rPr>
            <sz val="10"/>
            <color rgb="FF000000"/>
            <rFont val="Arial"/>
            <charset val="1"/>
          </rPr>
          <t>======
ID#AAABj5x5LtA
    (2025-05-20 16:59:23)
Na elaboração do orçamento-base da licitação, informar 0 (zero). Na proposta da licitante, informar a idade do veículo proposto.</t>
        </r>
      </text>
    </comment>
    <comment ref="C596" authorId="0" shapeId="0">
      <text>
        <r>
          <rPr>
            <sz val="10"/>
            <color rgb="FF000000"/>
            <rFont val="Arial"/>
            <charset val="1"/>
          </rPr>
          <t>======
ID#AAABj5x5LoQ
    (2025-05-20 16:59:23)
Informar o valor da depreciação do caminhão, adotando o valor sugerido pelo TCE ou outro valor estimado</t>
        </r>
      </text>
    </comment>
    <comment ref="C599" authorId="0" shapeId="0">
      <text>
        <r>
          <rPr>
            <sz val="10"/>
            <color rgb="FF000000"/>
            <rFont val="Arial"/>
            <charset val="1"/>
          </rPr>
          <t>======
ID#AAABj5x5Lb0
    (2025-05-20 16:59:22)
Informar a quantidade de caminhões compactadores do respectivo modelo</t>
        </r>
      </text>
    </comment>
    <comment ref="C605" authorId="0" shapeId="0">
      <text>
        <r>
          <rPr>
            <sz val="10"/>
            <color rgb="FF000000"/>
            <rFont val="Arial"/>
            <charset val="1"/>
          </rPr>
          <t>======
ID#AAABj5x5LWA
    (2025-05-20 16:59:22)
Informar a taxa de juros anual para remuneração do capital. Recomenda-se o uso da Taxa SELIC</t>
        </r>
      </text>
    </comment>
    <comment ref="B623" authorId="0" shapeId="0">
      <text>
        <r>
          <rPr>
            <sz val="10"/>
            <color rgb="FF000000"/>
            <rFont val="Arial"/>
            <charset val="1"/>
          </rPr>
          <t>======
ID#AAABj5x5Ll8
    (2025-05-20 16:59:23)
Informar a quilometragem mensal percorrida, de acordo com o projeto básico</t>
        </r>
      </text>
    </comment>
    <comment ref="C627" authorId="0" shapeId="0">
      <text>
        <r>
          <rPr>
            <sz val="10"/>
            <color rgb="FF000000"/>
            <rFont val="Arial"/>
            <charset val="1"/>
          </rPr>
          <t>======
ID#AAABj5x5LsI
    (2025-05-20 16:59:23)
Informar o consumo estimado do veículo em litros/mês</t>
        </r>
      </text>
    </comment>
    <comment ref="D633" authorId="0" shapeId="0">
      <text>
        <r>
          <rPr>
            <sz val="10"/>
            <color rgb="FF000000"/>
            <rFont val="Arial"/>
            <charset val="1"/>
          </rPr>
          <t>======
ID#AAABj5x5LT8
    (2025-05-20 16:59:22)
Informar o custo de manutenção em R$/km rodado</t>
        </r>
      </text>
    </comment>
    <comment ref="C639" authorId="0" shapeId="0">
      <text>
        <r>
          <rPr>
            <sz val="10"/>
            <color rgb="FF000000"/>
            <rFont val="Arial"/>
            <charset val="1"/>
          </rPr>
          <t>======
ID#AAABj5x5K-0
    (2025-05-20 16:59:22)
Informar o número de recapagens por pneu</t>
        </r>
      </text>
    </comment>
    <comment ref="C641" authorId="0" shapeId="0">
      <text>
        <r>
          <rPr>
            <sz val="10"/>
            <color rgb="FF000000"/>
            <rFont val="Arial"/>
            <charset val="1"/>
          </rPr>
          <t>======
ID#AAABj5x5Lyg
    (2025-05-20 16:59:23)
Informar a durabilidade média dos pneus considerando todas as recapagens, em km</t>
        </r>
      </text>
    </comment>
    <comment ref="D661" authorId="0" shapeId="0">
      <text>
        <r>
          <rPr>
            <sz val="10"/>
            <color rgb="FF000000"/>
            <rFont val="Arial"/>
            <charset val="1"/>
          </rPr>
          <t>======
ID#AAABj5x5LfU
    (2025-05-20 16:59:22)
Informar o preço unitário do chassis do caminhão de coleta</t>
        </r>
      </text>
    </comment>
    <comment ref="C662" authorId="0" shapeId="0">
      <text>
        <r>
          <rPr>
            <sz val="10"/>
            <color rgb="FF000000"/>
            <rFont val="Arial"/>
            <charset val="1"/>
          </rPr>
          <t>======
ID#AAABj5x5LI0
    (2025-05-20 16:59:22)
Informar a vida útil estimada para o caminhão, em anos</t>
        </r>
      </text>
    </comment>
    <comment ref="C663" authorId="0" shapeId="0">
      <text>
        <r>
          <rPr>
            <sz val="10"/>
            <color rgb="FF000000"/>
            <rFont val="Arial"/>
            <charset val="1"/>
          </rPr>
          <t>======
ID#AAABj5x5LxQ
    (2025-05-20 16:59:23)
Na elaboração do orçamento-base da licitação, informar 0 (zero). Na proposta da licitante, informar a idade do veículo proposto.</t>
        </r>
      </text>
    </comment>
    <comment ref="C664" authorId="0" shapeId="0">
      <text>
        <r>
          <rPr>
            <sz val="10"/>
            <color rgb="FF000000"/>
            <rFont val="Arial"/>
            <charset val="1"/>
          </rPr>
          <t>======
ID#AAABj5x5LQY
    (2025-05-20 16:59:22)
Informar o valor da depreciação do caminhão, adotando o valor sugerido pelo TCE ou outro valor estimado</t>
        </r>
      </text>
    </comment>
    <comment ref="C667" authorId="0" shapeId="0">
      <text>
        <r>
          <rPr>
            <sz val="10"/>
            <color rgb="FF000000"/>
            <rFont val="Arial"/>
            <charset val="1"/>
          </rPr>
          <t>======
ID#AAABj5x5Log
    (2025-05-20 16:59:23)
Informar a quantidade de caminhões compactadores do respectivo modelo</t>
        </r>
      </text>
    </comment>
    <comment ref="C673" authorId="0" shapeId="0">
      <text>
        <r>
          <rPr>
            <sz val="10"/>
            <color rgb="FF000000"/>
            <rFont val="Arial"/>
            <charset val="1"/>
          </rPr>
          <t>======
ID#AAABj5x5LU0
    (2025-05-20 16:59:22)
Informar a taxa de juros anual para remuneração do capital. Recomenda-se o uso da Taxa SELIC</t>
        </r>
      </text>
    </comment>
    <comment ref="C686" authorId="0" shapeId="0">
      <text>
        <r>
          <rPr>
            <sz val="10"/>
            <color rgb="FF000000"/>
            <rFont val="Arial"/>
            <charset val="1"/>
          </rPr>
          <t>======
ID#AAABj5x5Lsc
    (2025-05-20 16:59:23)
Informar o consumo estimado do veículo em litros/mês</t>
        </r>
      </text>
    </comment>
    <comment ref="D686" authorId="0" shapeId="0">
      <text>
        <r>
          <rPr>
            <sz val="10"/>
            <color rgb="FF000000"/>
            <rFont val="Arial"/>
            <charset val="1"/>
          </rPr>
          <t>======
ID#AAABj5x5LWU
    (2025-05-20 16:59:22)
Informar o preço unitário do combustivel</t>
        </r>
      </text>
    </comment>
    <comment ref="D694" authorId="0" shapeId="0">
      <text>
        <r>
          <rPr>
            <sz val="10"/>
            <color rgb="FF000000"/>
            <rFont val="Arial"/>
            <charset val="1"/>
          </rPr>
          <t>======
ID#AAABj5x5LPU
    (2025-05-20 16:59:22)
Informar o preço unitário do chassis do caminhão de coleta</t>
        </r>
      </text>
    </comment>
    <comment ref="C695" authorId="0" shapeId="0">
      <text>
        <r>
          <rPr>
            <sz val="10"/>
            <color rgb="FF000000"/>
            <rFont val="Arial"/>
            <charset val="1"/>
          </rPr>
          <t>======
ID#AAABj5x5LUQ
    (2025-05-20 16:59:22)
Informar a vida útil estimada para o caminhão, em anos</t>
        </r>
      </text>
    </comment>
    <comment ref="C696" authorId="0" shapeId="0">
      <text>
        <r>
          <rPr>
            <sz val="10"/>
            <color rgb="FF000000"/>
            <rFont val="Arial"/>
            <charset val="1"/>
          </rPr>
          <t>======
ID#AAABj5x5Lcg
    (2025-05-20 16:59:22)
Na elaboração do orçamento-base da licitação, informar 0 (zero). Na proposta da licitante, informar a idade do veículo proposto.</t>
        </r>
      </text>
    </comment>
    <comment ref="C697" authorId="0" shapeId="0">
      <text>
        <r>
          <rPr>
            <sz val="10"/>
            <color rgb="FF000000"/>
            <rFont val="Arial"/>
            <charset val="1"/>
          </rPr>
          <t>======
ID#AAABj5x5Ls4
    (2025-05-20 16:59:23)
Informar o valor da depreciação do caminhão, adotando o valor sugerido pelo TCE ou outro valor estimado</t>
        </r>
      </text>
    </comment>
    <comment ref="C700" authorId="0" shapeId="0">
      <text>
        <r>
          <rPr>
            <sz val="10"/>
            <color rgb="FF000000"/>
            <rFont val="Arial"/>
            <charset val="1"/>
          </rPr>
          <t>======
ID#AAABj5x5LaY
    (2025-05-20 16:59:22)
Informar a quantidade de caminhões compactadores do respectivo modelo</t>
        </r>
      </text>
    </comment>
    <comment ref="C706" authorId="0" shapeId="0">
      <text>
        <r>
          <rPr>
            <sz val="10"/>
            <color rgb="FF000000"/>
            <rFont val="Arial"/>
            <charset val="1"/>
          </rPr>
          <t>======
ID#AAABj5x5Lmk
    (2025-05-20 16:59:23)
Informar a taxa de juros anual para remuneração do capital. Recomenda-se o uso da Taxa SELIC</t>
        </r>
      </text>
    </comment>
    <comment ref="C719" authorId="0" shapeId="0">
      <text>
        <r>
          <rPr>
            <sz val="10"/>
            <color rgb="FF000000"/>
            <rFont val="Arial"/>
            <charset val="1"/>
          </rPr>
          <t>======
ID#AAABj5x5LRM
    (2025-05-20 16:59:22)
Informar o consumo estimado do veículo em litros/mês</t>
        </r>
      </text>
    </comment>
    <comment ref="C729" authorId="0" shapeId="0">
      <text>
        <r>
          <rPr>
            <sz val="10"/>
            <color rgb="FF000000"/>
            <rFont val="Arial"/>
            <charset val="1"/>
          </rPr>
          <t>======
ID#AAABj5x5Ldg
    (2025-05-20 16:59:22)
Informar a quantidade estimada por mês. Por exemplo, se a durabilidade estimada é de 6 meses, informar 1/6; se a durabilidade estimada é de 3 meses informar 1/3, etc..</t>
        </r>
      </text>
    </comment>
    <comment ref="D729" authorId="0" shapeId="0">
      <text>
        <r>
          <rPr>
            <sz val="10"/>
            <color rgb="FF000000"/>
            <rFont val="Arial"/>
            <charset val="1"/>
          </rPr>
          <t>======
ID#AAABj5x5LzU
    (2025-05-20 16:59:23)
Informar o valor unitário estimado para aquisição de cada material</t>
        </r>
      </text>
    </comment>
    <comment ref="C730" authorId="0" shapeId="0">
      <text>
        <r>
          <rPr>
            <sz val="10"/>
            <color rgb="FF000000"/>
            <rFont val="Arial"/>
            <charset val="1"/>
          </rPr>
          <t>======
ID#AAABj5x5LRA
    (2025-05-20 16:59:22)
Informar a quantidade estimada por mês. Por exemplo, se a durabilidade estimada é de 6 meses, informar 1/6; se a durabilidade estimada é de 3 meses informar 1/3, etc..</t>
        </r>
      </text>
    </comment>
    <comment ref="D730" authorId="0" shapeId="0">
      <text>
        <r>
          <rPr>
            <sz val="10"/>
            <color rgb="FF000000"/>
            <rFont val="Arial"/>
            <charset val="1"/>
          </rPr>
          <t>======
ID#AAABj5x5K8I
    (2025-05-20 16:59:22)
Informar o valor unitário estimado para aquisição de cada material</t>
        </r>
      </text>
    </comment>
    <comment ref="C731" authorId="0" shapeId="0">
      <text>
        <r>
          <rPr>
            <sz val="10"/>
            <color rgb="FF000000"/>
            <rFont val="Arial"/>
            <charset val="1"/>
          </rPr>
          <t>======
ID#AAABj5x5Lxk
    (2025-05-20 16:59:23)
Informar a quantidade estimada por mês. Por exemplo, se a durabilidade estimada é de 6 meses, informar 1/6; se a durabilidade estimada é de 3 meses informar 1/3, etc..</t>
        </r>
      </text>
    </comment>
    <comment ref="D731" authorId="0" shapeId="0">
      <text>
        <r>
          <rPr>
            <sz val="10"/>
            <color rgb="FF000000"/>
            <rFont val="Arial"/>
            <charset val="1"/>
          </rPr>
          <t>======
ID#AAABj5x5Lq0
    (2025-05-20 16:59:23)
Informar o valor unitário estimado para aquisição de cada material</t>
        </r>
      </text>
    </comment>
    <comment ref="C732" authorId="0" shapeId="0">
      <text>
        <r>
          <rPr>
            <sz val="10"/>
            <color rgb="FF000000"/>
            <rFont val="Arial"/>
            <charset val="1"/>
          </rPr>
          <t>======
ID#AAABj5x5Ljc
    (2025-05-20 16:59:23)
Informar a quantidade estimada por mês. Por exemplo, se a durabilidade estimada é de 6 meses, informar 1/6; se a durabilidade estimada é de 3 meses informar 1/3, etc..</t>
        </r>
      </text>
    </comment>
    <comment ref="D732" authorId="0" shapeId="0">
      <text>
        <r>
          <rPr>
            <sz val="10"/>
            <color rgb="FF000000"/>
            <rFont val="Arial"/>
            <charset val="1"/>
          </rPr>
          <t>======
ID#AAABj5x5LgM
    (2025-05-20 16:59:22)
Informar o valor unitário estimado para aquisição de cada material</t>
        </r>
      </text>
    </comment>
    <comment ref="C733" authorId="0" shapeId="0">
      <text>
        <r>
          <rPr>
            <sz val="10"/>
            <color rgb="FF000000"/>
            <rFont val="Arial"/>
            <charset val="1"/>
          </rPr>
          <t>======
ID#AAABj5x5LMg
    (2025-05-20 16:59:22)
Informar a quantidade estimada por mês. Por exemplo, se a durabilidade estimada é de 6 meses, informar 1/6; se a durabilidade estimada é de 3 meses informar 1/3, etc..</t>
        </r>
      </text>
    </comment>
    <comment ref="D733" authorId="0" shapeId="0">
      <text>
        <r>
          <rPr>
            <sz val="10"/>
            <color rgb="FF000000"/>
            <rFont val="Arial"/>
            <charset val="1"/>
          </rPr>
          <t>======
ID#AAABj5x5LNs
    (2025-05-20 16:59:22)
Informar o valor unitário estimado para aquisição de cada material</t>
        </r>
      </text>
    </comment>
    <comment ref="C734" authorId="0" shapeId="0">
      <text>
        <r>
          <rPr>
            <sz val="10"/>
            <color rgb="FF000000"/>
            <rFont val="Arial"/>
            <charset val="1"/>
          </rPr>
          <t>======
ID#AAABj5x5Lk4
    (2025-05-20 16:59:23)
Informar a quantidade estimada por mês. Por exemplo, se a durabilidade estimada é de 6 meses, informar 1/6; se a durabilidade estimada é de 3 meses informar 1/3, etc..</t>
        </r>
      </text>
    </comment>
    <comment ref="D734" authorId="0" shapeId="0">
      <text>
        <r>
          <rPr>
            <sz val="10"/>
            <color rgb="FF000000"/>
            <rFont val="Arial"/>
            <charset val="1"/>
          </rPr>
          <t>======
ID#AAABj5x5Ljg
    (2025-05-20 16:59:23)
Informar o valor unitário estimado para aquisição de cada material</t>
        </r>
      </text>
    </comment>
    <comment ref="C744" authorId="0" shapeId="0">
      <text>
        <r>
          <rPr>
            <sz val="10"/>
            <color rgb="FF000000"/>
            <rFont val="Arial"/>
            <charset val="1"/>
          </rPr>
          <t>======
ID#AAABj5x5LTs
    (2025-05-20 16:59:22)
Preencher a aba 4.BDI</t>
        </r>
      </text>
    </comment>
    <comment ref="B751" authorId="0" shapeId="0">
      <text>
        <r>
          <rPr>
            <sz val="10"/>
            <color rgb="FF000000"/>
            <rFont val="Arial"/>
            <charset val="1"/>
          </rPr>
          <t>======
ID#AAABj5x5LT4
    (2025-05-20 16:59:22)
Informar o fator de utilização das equipes de coleta. 
Por exemplo:
Equipes com utilização integral = 100%
Equipes com utilização parcial = n° horas trabalhadas por semana /44 horas</t>
        </r>
      </text>
    </comment>
    <comment ref="D759" authorId="0" shapeId="0">
      <text>
        <r>
          <rPr>
            <sz val="10"/>
            <color rgb="FF000000"/>
            <rFont val="Arial"/>
            <charset val="1"/>
          </rPr>
          <t>======
ID#AAABj5x5LoU
    (2025-05-20 16:59:23)
Informar a quantidade média coletada nos últimos 12 meses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4" authorId="0" shapeId="0">
      <text>
        <r>
          <rPr>
            <sz val="10"/>
            <color rgb="FF000000"/>
            <rFont val="Arial"/>
            <charset val="1"/>
          </rPr>
          <t>======
ID#AAABj5x5Lrs
    (2025-05-20 16:59:23)
Qualquer custo previsto no edital e não contemplado nesta planilha modelo deverá ser devidamente incluído</t>
        </r>
      </text>
    </comment>
    <comment ref="B51" authorId="0" shapeId="0">
      <text>
        <r>
          <rPr>
            <sz val="10"/>
            <color rgb="FF000000"/>
            <rFont val="Arial"/>
            <charset val="1"/>
          </rPr>
          <t>======
ID#AAABj5x5LQg
    (2025-05-20 16:59:22)
Informar o fator de utilização das equipes de coleta. 
Por exemplo:
Equipes com utilização integral = 100%
Equipes com utilização parcial = n° horas trabalhadas por semana /44 horas</t>
        </r>
      </text>
    </comment>
    <comment ref="C58" authorId="0" shapeId="0">
      <text>
        <r>
          <rPr>
            <sz val="10"/>
            <color rgb="FF000000"/>
            <rFont val="Arial"/>
            <charset val="1"/>
          </rPr>
          <t>======
ID#AAABj5x5LR8
    (2025-05-20 16:59:22)
Informar o número de horas extras trabalhadas nos domingos e feriados em horário diurno</t>
        </r>
      </text>
    </comment>
    <comment ref="A59" authorId="0" shapeId="0">
      <text>
        <r>
          <rPr>
            <sz val="10"/>
            <color rgb="FF000000"/>
            <rFont val="Arial"/>
            <charset val="1"/>
          </rPr>
          <t>======
ID#AAABj5x5LwQ
    (2025-05-20 16:59:23)
Cálculo do descanso semanal remunerado incidente sobre as horas extras habitualmente prestadas. Considerada a média de 63 feriados + domingos e 302 dias trabalhados por ano</t>
        </r>
      </text>
    </comment>
    <comment ref="C62" authorId="0" shapeId="0">
      <text>
        <r>
          <rPr>
            <sz val="10"/>
            <color rgb="FF000000"/>
            <rFont val="Arial"/>
            <charset val="1"/>
          </rPr>
          <t>======
ID#AAABj5x5LLE
    (2025-05-20 16:59:22)
Preencher a planilha Encargos Sociais e CAGED</t>
        </r>
      </text>
    </comment>
    <comment ref="C64" authorId="0" shapeId="0">
      <text>
        <r>
          <rPr>
            <sz val="10"/>
            <color rgb="FF000000"/>
            <rFont val="Arial"/>
            <charset val="1"/>
          </rPr>
          <t>======
ID#AAABj5x5Lb8
    (2025-05-20 16:59:22)
Informar a quantidade de trabalhadores na função</t>
        </r>
      </text>
    </comment>
    <comment ref="C70" authorId="0" shapeId="0">
      <text>
        <r>
          <rPr>
            <sz val="10"/>
            <color rgb="FF000000"/>
            <rFont val="Arial"/>
            <charset val="1"/>
          </rPr>
          <t>======
ID#AAABj5x5LNI
    (2025-05-20 16:59:22)
Informar o número de horas extras trabalhadas nos domingos e feriados em horário diurno</t>
        </r>
      </text>
    </comment>
    <comment ref="A71" authorId="0" shapeId="0">
      <text>
        <r>
          <rPr>
            <sz val="10"/>
            <color rgb="FF000000"/>
            <rFont val="Arial"/>
            <charset val="1"/>
          </rPr>
          <t>======
ID#AAABj5x5K9E
    (2025-05-20 16:59:22)
Cálculo do descanso semanal remunerado incidente sobre as horas extras habitualmente prestadas. Considerada a média de 63 feriados + domingos e 302 dias trabalhados por ano</t>
        </r>
      </text>
    </comment>
    <comment ref="C74" authorId="0" shapeId="0">
      <text>
        <r>
          <rPr>
            <sz val="10"/>
            <color rgb="FF000000"/>
            <rFont val="Arial"/>
            <charset val="1"/>
          </rPr>
          <t>======
ID#AAABj5x5LcI
    (2025-05-20 16:59:22)
Preencher a planilha Encargos Sociais e CAGED</t>
        </r>
      </text>
    </comment>
    <comment ref="C76" authorId="0" shapeId="0">
      <text>
        <r>
          <rPr>
            <sz val="10"/>
            <color rgb="FF000000"/>
            <rFont val="Arial"/>
            <charset val="1"/>
          </rPr>
          <t>======
ID#AAABj5x5LJA
    (2025-05-20 16:59:22)
Informar a quantidade de trabalhadores na função</t>
        </r>
      </text>
    </comment>
    <comment ref="D82" authorId="0" shapeId="0">
      <text>
        <r>
          <rPr>
            <sz val="10"/>
            <color rgb="FF000000"/>
            <rFont val="Arial"/>
            <charset val="1"/>
          </rPr>
          <t>======
ID#AAABj5x5Lpo
    (2025-05-20 16:59:23)
Informar o valor do salário Mínimo Nacional</t>
        </r>
      </text>
    </comment>
    <comment ref="C83" authorId="0" shapeId="0">
      <text>
        <r>
          <rPr>
            <sz val="10"/>
            <color rgb="FF000000"/>
            <rFont val="Arial"/>
            <charset val="1"/>
          </rPr>
          <t>======
ID#AAABj5x5LyU
    (2025-05-20 16:59:23)
Informar o número de horas extras trabalhadas em horário diurno nos domingos e feriados</t>
        </r>
      </text>
    </comment>
    <comment ref="A84" authorId="0" shapeId="0">
      <text>
        <r>
          <rPr>
            <sz val="10"/>
            <color rgb="FF000000"/>
            <rFont val="Arial"/>
            <charset val="1"/>
          </rPr>
          <t>======
ID#AAABj5x5LZg
    (2025-05-20 16:59:22)
Cálculo do descanso semanal remunerado incidente sobre as horas extras habitualmente prestadas. Considerada a média de 63 feriados + domingos e 302 dias trabalhados por ano</t>
        </r>
      </text>
    </comment>
    <comment ref="C85" authorId="0" shapeId="0">
      <text>
        <r>
          <rPr>
            <sz val="10"/>
            <color rgb="FF000000"/>
            <rFont val="Arial"/>
            <charset val="1"/>
          </rPr>
          <t>======
ID#AAABj5x5LXM
    (2025-05-20 16:59:22)
Informar 1 se a base de cálculo for o Salário Mínimo Nacional; Informar 2 se a base de cálculo for o Piso da Categoria;</t>
        </r>
      </text>
    </comment>
    <comment ref="C86" authorId="0" shapeId="0">
      <text>
        <r>
          <rPr>
            <sz val="10"/>
            <color rgb="FF000000"/>
            <rFont val="Arial"/>
            <charset val="1"/>
          </rPr>
          <t>======
ID#AAABj5x5K7g
    (2025-05-20 16:59:22)
Percentual estabelecido nas Normas de Segurança de Trabalho ou pelo laudo de responsável técnico devidamente habilitado</t>
        </r>
      </text>
    </comment>
    <comment ref="C88" authorId="0" shapeId="0">
      <text>
        <r>
          <rPr>
            <sz val="10"/>
            <color rgb="FF000000"/>
            <rFont val="Arial"/>
            <charset val="1"/>
          </rPr>
          <t>======
ID#AAABj5x5LhE
    (2025-05-20 16:59:22)
Preencher a planilha Encargos Sociais e CAGED</t>
        </r>
      </text>
    </comment>
    <comment ref="C90" authorId="0" shapeId="0">
      <text>
        <r>
          <rPr>
            <sz val="10"/>
            <color rgb="FF000000"/>
            <rFont val="Arial"/>
            <charset val="1"/>
          </rPr>
          <t>======
ID#AAABj5x5LwY
    (2025-05-20 16:59:23)
Informar a quantidade de trabalhadores na função</t>
        </r>
      </text>
    </comment>
    <comment ref="C96" authorId="0" shapeId="0">
      <text>
        <r>
          <rPr>
            <sz val="10"/>
            <color rgb="FF000000"/>
            <rFont val="Arial"/>
            <charset val="1"/>
          </rPr>
          <t>======
ID#AAABj5x5Lyo
    (2025-05-20 16:59:23)
Informar o número médio de dias trabalhados por mês</t>
        </r>
      </text>
    </comment>
    <comment ref="D97" authorId="0" shapeId="0">
      <text>
        <r>
          <rPr>
            <sz val="10"/>
            <color rgb="FF000000"/>
            <rFont val="Arial"/>
            <charset val="1"/>
          </rPr>
          <t>======
ID#AAABj5x5LdQ
    (2025-05-20 16:59:22)
Valor Unitário considerando o desconto legal de até 6% do salário</t>
        </r>
      </text>
    </comment>
    <comment ref="D98" authorId="0" shapeId="0">
      <text>
        <r>
          <rPr>
            <sz val="10"/>
            <color rgb="FF000000"/>
            <rFont val="Arial"/>
            <charset val="1"/>
          </rPr>
          <t>======
ID#AAABj5x5Lqc
    (2025-05-20 16:59:23)
Valor Unitário considerando o desconto legal de até 6% do salário</t>
        </r>
      </text>
    </comment>
    <comment ref="D99" authorId="0" shapeId="0">
      <text>
        <r>
          <rPr>
            <sz val="10"/>
            <color rgb="FF000000"/>
            <rFont val="Arial"/>
            <charset val="1"/>
          </rPr>
          <t>======
ID#AAABj5x5LkU
    (2025-05-20 16:59:23)
Valor Unitário considerando o desconto legal de até 6% do salário</t>
        </r>
      </text>
    </comment>
    <comment ref="D111" authorId="0" shapeId="0">
      <text>
        <r>
          <rPr>
            <sz val="10"/>
            <color rgb="FF000000"/>
            <rFont val="Arial"/>
            <charset val="1"/>
          </rPr>
          <t>======
ID#AAABj5x5LqM
    (2025-05-20 16:59:23)
Informar o valor mensal do auxilio alimentação, considerando o desconto aplicável ao funcionário, conforme Convenção Coletiva da categoria</t>
        </r>
      </text>
    </comment>
    <comment ref="D112" authorId="0" shapeId="0">
      <text>
        <r>
          <rPr>
            <sz val="10"/>
            <color rgb="FF000000"/>
            <rFont val="Arial"/>
            <charset val="1"/>
          </rPr>
          <t>======
ID#AAABj5x5K6o
    (2025-05-20 16:59:22)
Informar o valor mensal do auxilio alimentação, considerando o desconto aplicável ao funcionário, conforme Convenção Coletiva da categoria</t>
        </r>
      </text>
    </comment>
    <comment ref="C123" authorId="0" shapeId="0">
      <text>
        <r>
          <rPr>
            <sz val="10"/>
            <color rgb="FF000000"/>
            <rFont val="Arial"/>
            <charset val="1"/>
          </rPr>
          <t>======
ID#AAABj5x5LcQ
    (2025-05-20 16:59:22)
Informar a durabilidade estimada em meses, para cada EPI</t>
        </r>
      </text>
    </comment>
    <comment ref="D123" authorId="0" shapeId="0">
      <text>
        <r>
          <rPr>
            <sz val="10"/>
            <color rgb="FF000000"/>
            <rFont val="Arial"/>
            <charset val="1"/>
          </rPr>
          <t>======
ID#AAABj5x5LMo
    (2025-05-20 16:59:22)
Informar o valor unitário estimado para aquisição de cada EPI</t>
        </r>
      </text>
    </comment>
    <comment ref="C124" authorId="0" shapeId="0">
      <text>
        <r>
          <rPr>
            <sz val="10"/>
            <color rgb="FF000000"/>
            <rFont val="Arial"/>
            <charset val="1"/>
          </rPr>
          <t>======
ID#AAABj5x5LnU
    (2025-05-20 16:59:23)
Informar a durabilidade estimada em meses, para cada EPI</t>
        </r>
      </text>
    </comment>
    <comment ref="D124" authorId="0" shapeId="0">
      <text>
        <r>
          <rPr>
            <sz val="10"/>
            <color rgb="FF000000"/>
            <rFont val="Arial"/>
            <charset val="1"/>
          </rPr>
          <t>======
ID#AAABj5x5LlM
    (2025-05-20 16:59:23)
Informar o valor unitário estimado para aquisição de cada EPI</t>
        </r>
      </text>
    </comment>
    <comment ref="C125" authorId="0" shapeId="0">
      <text>
        <r>
          <rPr>
            <sz val="10"/>
            <color rgb="FF000000"/>
            <rFont val="Arial"/>
            <charset val="1"/>
          </rPr>
          <t>======
ID#AAABj5x5Lgw
    (2025-05-20 16:59:22)
Informar a durabilidade estimada em meses, para cada EPI</t>
        </r>
      </text>
    </comment>
    <comment ref="D125" authorId="0" shapeId="0">
      <text>
        <r>
          <rPr>
            <sz val="10"/>
            <color rgb="FF000000"/>
            <rFont val="Arial"/>
            <charset val="1"/>
          </rPr>
          <t>======
ID#AAABj5x5LuA
    (2025-05-20 16:59:23)
Informar o valor unitário estimado para aquisição de cada EPI</t>
        </r>
      </text>
    </comment>
    <comment ref="C126" authorId="0" shapeId="0">
      <text>
        <r>
          <rPr>
            <sz val="10"/>
            <color rgb="FF000000"/>
            <rFont val="Arial"/>
            <charset val="1"/>
          </rPr>
          <t>======
ID#AAABj5x5Ljw
    (2025-05-20 16:59:23)
Informar a durabilidade estimada em meses, para cada EPI</t>
        </r>
      </text>
    </comment>
    <comment ref="D126" authorId="0" shapeId="0">
      <text>
        <r>
          <rPr>
            <sz val="10"/>
            <color rgb="FF000000"/>
            <rFont val="Arial"/>
            <charset val="1"/>
          </rPr>
          <t>======
ID#AAABj5x5LkE
    (2025-05-20 16:59:23)
Informar o valor unitário estimado para aquisição de cada EPI</t>
        </r>
      </text>
    </comment>
    <comment ref="C127" authorId="0" shapeId="0">
      <text>
        <r>
          <rPr>
            <sz val="10"/>
            <color rgb="FF000000"/>
            <rFont val="Arial"/>
            <charset val="1"/>
          </rPr>
          <t>======
ID#AAABj5x5LiA
    (2025-05-20 16:59:23)
Informar a durabilidade estimada em meses, para cada EPI</t>
        </r>
      </text>
    </comment>
    <comment ref="D127" authorId="0" shapeId="0">
      <text>
        <r>
          <rPr>
            <sz val="10"/>
            <color rgb="FF000000"/>
            <rFont val="Arial"/>
            <charset val="1"/>
          </rPr>
          <t>======
ID#AAABj5x5LZY
    (2025-05-20 16:59:22)
Informar o valor unitário estimado para aquisição de cada EPI</t>
        </r>
      </text>
    </comment>
    <comment ref="C128" authorId="0" shapeId="0">
      <text>
        <r>
          <rPr>
            <sz val="10"/>
            <color rgb="FF000000"/>
            <rFont val="Arial"/>
            <charset val="1"/>
          </rPr>
          <t>======
ID#AAABj5x5Lfs
    (2025-05-20 16:59:22)
Informar a durabilidade estimada em meses, para cada EPI</t>
        </r>
      </text>
    </comment>
    <comment ref="D128" authorId="0" shapeId="0">
      <text>
        <r>
          <rPr>
            <sz val="10"/>
            <color rgb="FF000000"/>
            <rFont val="Arial"/>
            <charset val="1"/>
          </rPr>
          <t>======
ID#AAABj5x5Lsw
    (2025-05-20 16:59:23)
Informar o valor unitário estimado para aquisição de cada EPI</t>
        </r>
      </text>
    </comment>
    <comment ref="C129" authorId="0" shapeId="0">
      <text>
        <r>
          <rPr>
            <sz val="10"/>
            <color rgb="FF000000"/>
            <rFont val="Arial"/>
            <charset val="1"/>
          </rPr>
          <t>======
ID#AAABj5x5Lno
    (2025-05-20 16:59:23)
Informar a durabilidade estimada em meses, para cada EPI</t>
        </r>
      </text>
    </comment>
    <comment ref="D129" authorId="0" shapeId="0">
      <text>
        <r>
          <rPr>
            <sz val="10"/>
            <color rgb="FF000000"/>
            <rFont val="Arial"/>
            <charset val="1"/>
          </rPr>
          <t>======
ID#AAABj5x5LbA
    (2025-05-20 16:59:22)
Informar o valor unitário estimado para aquisição de cada EPI</t>
        </r>
      </text>
    </comment>
    <comment ref="C130" authorId="0" shapeId="0">
      <text>
        <r>
          <rPr>
            <sz val="10"/>
            <color rgb="FF000000"/>
            <rFont val="Arial"/>
            <charset val="1"/>
          </rPr>
          <t>======
ID#AAABj5x5LSc
    (2025-05-20 16:59:22)
Informar a durabilidade estimada em meses, para cada EPI</t>
        </r>
      </text>
    </comment>
    <comment ref="D130" authorId="0" shapeId="0">
      <text>
        <r>
          <rPr>
            <sz val="10"/>
            <color rgb="FF000000"/>
            <rFont val="Arial"/>
            <charset val="1"/>
          </rPr>
          <t>======
ID#AAABj5x5K8w
    (2025-05-20 16:59:22)
Informar o valor unitário estimado para aquisição de cada EPI</t>
        </r>
      </text>
    </comment>
    <comment ref="C131" authorId="0" shapeId="0">
      <text>
        <r>
          <rPr>
            <sz val="10"/>
            <color rgb="FF000000"/>
            <rFont val="Arial"/>
            <charset val="1"/>
          </rPr>
          <t>======
ID#AAABj5x5K-s
    (2025-05-20 16:59:22)
Informar a durabilidade estimada em meses, para cada EPI</t>
        </r>
      </text>
    </comment>
    <comment ref="D131" authorId="0" shapeId="0">
      <text>
        <r>
          <rPr>
            <sz val="10"/>
            <color rgb="FF000000"/>
            <rFont val="Arial"/>
            <charset val="1"/>
          </rPr>
          <t>======
ID#AAABj5x5Lwo
    (2025-05-20 16:59:23)
Informar o valor unitário estimado para aquisição de cada EPI</t>
        </r>
      </text>
    </comment>
    <comment ref="C132" authorId="0" shapeId="0">
      <text>
        <r>
          <rPr>
            <sz val="10"/>
            <color rgb="FF000000"/>
            <rFont val="Arial"/>
            <charset val="1"/>
          </rPr>
          <t>======
ID#AAABj5x5Lc0
    (2025-05-20 16:59:22)
Informar a durabilidade estimada em meses, para cada EPI</t>
        </r>
      </text>
    </comment>
    <comment ref="D132" authorId="0" shapeId="0">
      <text>
        <r>
          <rPr>
            <sz val="10"/>
            <color rgb="FF000000"/>
            <rFont val="Arial"/>
            <charset val="1"/>
          </rPr>
          <t>======
ID#AAABj5x5LIY
    (2025-05-20 16:59:22)
Informar o valor unitário estimado para aquisição de cada EPI</t>
        </r>
      </text>
    </comment>
    <comment ref="C133" authorId="0" shapeId="0">
      <text>
        <r>
          <rPr>
            <sz val="10"/>
            <color rgb="FF000000"/>
            <rFont val="Arial"/>
            <charset val="1"/>
          </rPr>
          <t>======
ID#AAABj5x5K58
    (2025-05-20 16:59:22)
Informar a durabilidade estimada em meses, para cada EPI</t>
        </r>
      </text>
    </comment>
    <comment ref="D133" authorId="0" shapeId="0">
      <text>
        <r>
          <rPr>
            <sz val="10"/>
            <color rgb="FF000000"/>
            <rFont val="Arial"/>
            <charset val="1"/>
          </rPr>
          <t>======
ID#AAABj5x5Lxo
    (2025-05-20 16:59:23)
Informar o valor unitário estimado para aquisição de cada EPI</t>
        </r>
      </text>
    </comment>
    <comment ref="C134" authorId="0" shapeId="0">
      <text>
        <r>
          <rPr>
            <sz val="10"/>
            <color rgb="FF000000"/>
            <rFont val="Arial"/>
            <charset val="1"/>
          </rPr>
          <t>======
ID#AAABj5x5LKo
    (2025-05-20 16:59:22)
Informar a durabilidade estimada em meses, para cada EPI</t>
        </r>
      </text>
    </comment>
    <comment ref="D134" authorId="0" shapeId="0">
      <text>
        <r>
          <rPr>
            <sz val="10"/>
            <color rgb="FF000000"/>
            <rFont val="Arial"/>
            <charset val="1"/>
          </rPr>
          <t>======
ID#AAABj5x5LUs
    (2025-05-20 16:59:22)
Informar o valor unitário estimado para aquisição de cada EPI</t>
        </r>
      </text>
    </comment>
    <comment ref="C141" authorId="0" shapeId="0">
      <text>
        <r>
          <rPr>
            <sz val="10"/>
            <color rgb="FF000000"/>
            <rFont val="Arial"/>
            <charset val="1"/>
          </rPr>
          <t>======
ID#AAABj5x5LWM
    (2025-05-20 16:59:22)
Informar a durabilidade estimada em meses, para cada EPI</t>
        </r>
      </text>
    </comment>
    <comment ref="D141" authorId="0" shapeId="0">
      <text>
        <r>
          <rPr>
            <sz val="10"/>
            <color rgb="FF000000"/>
            <rFont val="Arial"/>
            <charset val="1"/>
          </rPr>
          <t>======
ID#AAABj5x5LvI
    (2025-05-20 16:59:23)
Informar o valor unitário estimado para aquisição de cada EPI</t>
        </r>
      </text>
    </comment>
    <comment ref="C142" authorId="0" shapeId="0">
      <text>
        <r>
          <rPr>
            <sz val="10"/>
            <color rgb="FF000000"/>
            <rFont val="Arial"/>
            <charset val="1"/>
          </rPr>
          <t>======
ID#AAABj5x5LN0
    (2025-05-20 16:59:22)
Informar a durabilidade estimada em meses, para cada EPI</t>
        </r>
      </text>
    </comment>
    <comment ref="D142" authorId="0" shapeId="0">
      <text>
        <r>
          <rPr>
            <sz val="10"/>
            <color rgb="FF000000"/>
            <rFont val="Arial"/>
            <charset val="1"/>
          </rPr>
          <t>======
ID#AAABj5x5K88
    (2025-05-20 16:59:22)
Informar o valor unitário estimado para aquisição de cada EPI</t>
        </r>
      </text>
    </comment>
    <comment ref="C143" authorId="0" shapeId="0">
      <text>
        <r>
          <rPr>
            <sz val="10"/>
            <color rgb="FF000000"/>
            <rFont val="Arial"/>
            <charset val="1"/>
          </rPr>
          <t>======
ID#AAABj5x5LcU
    (2025-05-20 16:59:22)
Informar a durabilidade estimada em meses, para cada EPI</t>
        </r>
      </text>
    </comment>
    <comment ref="D143" authorId="0" shapeId="0">
      <text>
        <r>
          <rPr>
            <sz val="10"/>
            <color rgb="FF000000"/>
            <rFont val="Arial"/>
            <charset val="1"/>
          </rPr>
          <t>======
ID#AAABj5x5LRc
    (2025-05-20 16:59:22)
Informar o valor unitário estimado para aquisição de cada EPI</t>
        </r>
      </text>
    </comment>
    <comment ref="C144" authorId="0" shapeId="0">
      <text>
        <r>
          <rPr>
            <sz val="10"/>
            <color rgb="FF000000"/>
            <rFont val="Arial"/>
            <charset val="1"/>
          </rPr>
          <t>======
ID#AAABj5x5Lxw
    (2025-05-20 16:59:23)
Informar a durabilidade estimada em meses, para cada EPI</t>
        </r>
      </text>
    </comment>
    <comment ref="D144" authorId="0" shapeId="0">
      <text>
        <r>
          <rPr>
            <sz val="10"/>
            <color rgb="FF000000"/>
            <rFont val="Arial"/>
            <charset val="1"/>
          </rPr>
          <t>======
ID#AAABj5x5Lb4
    (2025-05-20 16:59:22)
Informar o valor unitário estimado para aquisição de cada EPI</t>
        </r>
      </text>
    </comment>
    <comment ref="C145" authorId="0" shapeId="0">
      <text>
        <r>
          <rPr>
            <sz val="10"/>
            <color rgb="FF000000"/>
            <rFont val="Arial"/>
            <charset val="1"/>
          </rPr>
          <t>======
ID#AAABj5x5Lbc
    (2025-05-20 16:59:22)
Informar a durabilidade estimada em meses, para cada EPI</t>
        </r>
      </text>
    </comment>
    <comment ref="D145" authorId="0" shapeId="0">
      <text>
        <r>
          <rPr>
            <sz val="10"/>
            <color rgb="FF000000"/>
            <rFont val="Arial"/>
            <charset val="1"/>
          </rPr>
          <t>======
ID#AAABj5x5Lpc
    (2025-05-20 16:59:23)
Informar o valor unitário estimado para aquisição de cada EPI</t>
        </r>
      </text>
    </comment>
    <comment ref="C146" authorId="0" shapeId="0">
      <text>
        <r>
          <rPr>
            <sz val="10"/>
            <color rgb="FF000000"/>
            <rFont val="Arial"/>
            <charset val="1"/>
          </rPr>
          <t>======
ID#AAABj5x5LjE
    (2025-05-20 16:59:23)
Informar a durabilidade estimada em meses, para cada EPI</t>
        </r>
      </text>
    </comment>
    <comment ref="D146" authorId="0" shapeId="0">
      <text>
        <r>
          <rPr>
            <sz val="10"/>
            <color rgb="FF000000"/>
            <rFont val="Arial"/>
            <charset val="1"/>
          </rPr>
          <t>======
ID#AAABj5x5LTo
    (2025-05-20 16:59:22)
Informar o valor unitário estimado para aquisição de cada EPI</t>
        </r>
      </text>
    </comment>
    <comment ref="C147" authorId="0" shapeId="0">
      <text>
        <r>
          <rPr>
            <sz val="10"/>
            <color rgb="FF000000"/>
            <rFont val="Arial"/>
            <charset val="1"/>
          </rPr>
          <t>======
ID#AAABj5x5Lvk
    (2025-05-20 16:59:23)
Informar a durabilidade estimada em meses, para cada EPI</t>
        </r>
      </text>
    </comment>
    <comment ref="D147" authorId="0" shapeId="0">
      <text>
        <r>
          <rPr>
            <sz val="10"/>
            <color rgb="FF000000"/>
            <rFont val="Arial"/>
            <charset val="1"/>
          </rPr>
          <t>======
ID#AAABj5x5LhI
    (2025-05-20 16:59:22)
Informar o valor unitário estimado para aquisição de cada EPI</t>
        </r>
      </text>
    </comment>
    <comment ref="C148" authorId="0" shapeId="0">
      <text>
        <r>
          <rPr>
            <sz val="10"/>
            <color rgb="FF000000"/>
            <rFont val="Arial"/>
            <charset val="1"/>
          </rPr>
          <t>======
ID#AAABj5x5LJc
    (2025-05-20 16:59:22)
Informar a durabilidade estimada em meses, para cada EPI</t>
        </r>
      </text>
    </comment>
    <comment ref="D148" authorId="0" shapeId="0">
      <text>
        <r>
          <rPr>
            <sz val="10"/>
            <color rgb="FF000000"/>
            <rFont val="Arial"/>
            <charset val="1"/>
          </rPr>
          <t>======
ID#AAABj5x5Lhc
    (2025-05-20 16:59:22)
Informar o valor unitário estimado para aquisição de cada EPI</t>
        </r>
      </text>
    </comment>
    <comment ref="C149" authorId="0" shapeId="0">
      <text>
        <r>
          <rPr>
            <sz val="10"/>
            <color rgb="FF000000"/>
            <rFont val="Arial"/>
            <charset val="1"/>
          </rPr>
          <t>======
ID#AAABj5x5Lnk
    (2025-05-20 16:59:23)
Informar a durabilidade estimada em meses, para cada EPI</t>
        </r>
      </text>
    </comment>
    <comment ref="D149" authorId="0" shapeId="0">
      <text>
        <r>
          <rPr>
            <sz val="10"/>
            <color rgb="FF000000"/>
            <rFont val="Arial"/>
            <charset val="1"/>
          </rPr>
          <t>======
ID#AAABj5x5LQQ
    (2025-05-20 16:59:22)
Informar o valor unitário estimado para aquisição de cada EPI</t>
        </r>
      </text>
    </comment>
    <comment ref="C150" authorId="0" shapeId="0">
      <text>
        <r>
          <rPr>
            <sz val="10"/>
            <color rgb="FF000000"/>
            <rFont val="Arial"/>
            <charset val="1"/>
          </rPr>
          <t>======
ID#AAABj5x5LkM
    (2025-05-20 16:59:23)
Informar a durabilidade estimada em meses, para cada EPI</t>
        </r>
      </text>
    </comment>
    <comment ref="D150" authorId="0" shapeId="0">
      <text>
        <r>
          <rPr>
            <sz val="10"/>
            <color rgb="FF000000"/>
            <rFont val="Arial"/>
            <charset val="1"/>
          </rPr>
          <t>======
ID#AAABj5x5Ls0
    (2025-05-20 16:59:23)
Informar o valor unitário estimado para aquisição de cada EPI</t>
        </r>
      </text>
    </comment>
    <comment ref="C157" authorId="0" shapeId="0">
      <text>
        <r>
          <rPr>
            <sz val="10"/>
            <color rgb="FF000000"/>
            <rFont val="Arial"/>
            <charset val="1"/>
          </rPr>
          <t>======
ID#AAABj5x5LqE
    (2025-05-20 16:59:23)
Informar a durabilidade estimada em meses, para cada EPI</t>
        </r>
      </text>
    </comment>
    <comment ref="D157" authorId="0" shapeId="0">
      <text>
        <r>
          <rPr>
            <sz val="10"/>
            <color rgb="FF000000"/>
            <rFont val="Arial"/>
            <charset val="1"/>
          </rPr>
          <t>======
ID#AAABj5x5LWc
    (2025-05-20 16:59:22)
Informar o valor unitário estimado para aquisição de cada EPI</t>
        </r>
      </text>
    </comment>
    <comment ref="C158" authorId="0" shapeId="0">
      <text>
        <r>
          <rPr>
            <sz val="10"/>
            <color rgb="FF000000"/>
            <rFont val="Arial"/>
            <charset val="1"/>
          </rPr>
          <t>======
ID#AAABj5x5LdE
    (2025-05-20 16:59:22)
Informar a durabilidade estimada em meses, para cada EPI</t>
        </r>
      </text>
    </comment>
    <comment ref="D158" authorId="0" shapeId="0">
      <text>
        <r>
          <rPr>
            <sz val="10"/>
            <color rgb="FF000000"/>
            <rFont val="Arial"/>
            <charset val="1"/>
          </rPr>
          <t>======
ID#AAABj5x5LcY
    (2025-05-20 16:59:22)
Informar o valor unitário estimado para aquisição de cada EPI</t>
        </r>
      </text>
    </comment>
    <comment ref="C159" authorId="0" shapeId="0">
      <text>
        <r>
          <rPr>
            <sz val="10"/>
            <color rgb="FF000000"/>
            <rFont val="Arial"/>
            <charset val="1"/>
          </rPr>
          <t>======
ID#AAABj5x5K6M
    (2025-05-20 16:59:22)
Informar a durabilidade estimada em meses, para cada EPI</t>
        </r>
      </text>
    </comment>
    <comment ref="D159" authorId="0" shapeId="0">
      <text>
        <r>
          <rPr>
            <sz val="10"/>
            <color rgb="FF000000"/>
            <rFont val="Arial"/>
            <charset val="1"/>
          </rPr>
          <t>======
ID#AAABj5x5LfA
    (2025-05-20 16:59:22)
Informar o valor unitário estimado para aquisição de cada EPI</t>
        </r>
      </text>
    </comment>
    <comment ref="C160" authorId="0" shapeId="0">
      <text>
        <r>
          <rPr>
            <sz val="10"/>
            <color rgb="FF000000"/>
            <rFont val="Arial"/>
            <charset val="1"/>
          </rPr>
          <t>======
ID#AAABj5x5LRs
    (2025-05-20 16:59:22)
Informar a durabilidade estimada em meses, para cada EPI</t>
        </r>
      </text>
    </comment>
    <comment ref="D160" authorId="0" shapeId="0">
      <text>
        <r>
          <rPr>
            <sz val="10"/>
            <color rgb="FF000000"/>
            <rFont val="Arial"/>
            <charset val="1"/>
          </rPr>
          <t>======
ID#AAABj5x5LvY
    (2025-05-20 16:59:23)
Informar o valor unitário estimado para aquisição de cada EPI</t>
        </r>
      </text>
    </comment>
    <comment ref="C161" authorId="0" shapeId="0">
      <text>
        <r>
          <rPr>
            <sz val="10"/>
            <color rgb="FF000000"/>
            <rFont val="Arial"/>
            <charset val="1"/>
          </rPr>
          <t>======
ID#AAABj5x5LcM
    (2025-05-20 16:59:22)
Informar a durabilidade estimada em meses, para cada EPI</t>
        </r>
      </text>
    </comment>
    <comment ref="D161" authorId="0" shapeId="0">
      <text>
        <r>
          <rPr>
            <sz val="10"/>
            <color rgb="FF000000"/>
            <rFont val="Arial"/>
            <charset val="1"/>
          </rPr>
          <t>======
ID#AAABj5x5Lrc
    (2025-05-20 16:59:23)
Informar o valor unitário estimado para aquisição de cada EPI</t>
        </r>
      </text>
    </comment>
    <comment ref="C162" authorId="0" shapeId="0">
      <text>
        <r>
          <rPr>
            <sz val="10"/>
            <color rgb="FF000000"/>
            <rFont val="Arial"/>
            <charset val="1"/>
          </rPr>
          <t>======
ID#AAABj5x5LtY
    (2025-05-20 16:59:23)
Informar a durabilidade estimada em meses, para cada EPI</t>
        </r>
      </text>
    </comment>
    <comment ref="D162" authorId="0" shapeId="0">
      <text>
        <r>
          <rPr>
            <sz val="10"/>
            <color rgb="FF000000"/>
            <rFont val="Arial"/>
            <charset val="1"/>
          </rPr>
          <t>======
ID#AAABj5x5Luc
    (2025-05-20 16:59:23)
Informar o valor unitário estimado para aquisição de cada EPI</t>
        </r>
      </text>
    </comment>
    <comment ref="D174" authorId="0" shapeId="0">
      <text>
        <r>
          <rPr>
            <sz val="10"/>
            <color rgb="FF000000"/>
            <rFont val="Arial"/>
            <charset val="1"/>
          </rPr>
          <t>======
ID#AAABj5x5LI4
    (2025-05-20 16:59:22)
Informar o preço unitário do chassis do caminhão de coleta</t>
        </r>
      </text>
    </comment>
    <comment ref="C175" authorId="0" shapeId="0">
      <text>
        <r>
          <rPr>
            <sz val="10"/>
            <color rgb="FF000000"/>
            <rFont val="Arial"/>
            <charset val="1"/>
          </rPr>
          <t>======
ID#AAABj5x5Lng
    (2025-05-20 16:59:23)
Informar a vida útil estimada para o caminhão, em anos</t>
        </r>
      </text>
    </comment>
    <comment ref="C176" authorId="0" shapeId="0">
      <text>
        <r>
          <rPr>
            <sz val="10"/>
            <color rgb="FF000000"/>
            <rFont val="Arial"/>
            <charset val="1"/>
          </rPr>
          <t>======
ID#AAABj5x5K6Q
    (2025-05-20 16:59:22)
Na elaboração do orçamento-base da licitação, informar 0 (zero). Na proposta da licitante, informar a idade do veículo proposto.</t>
        </r>
      </text>
    </comment>
    <comment ref="C177" authorId="0" shapeId="0">
      <text>
        <r>
          <rPr>
            <sz val="10"/>
            <color rgb="FF000000"/>
            <rFont val="Arial"/>
            <charset val="1"/>
          </rPr>
          <t>======
ID#AAABj5x5LMk
    (2025-05-20 16:59:22)
Informar o valor da depreciação do caminhão, adotando o valor sugerido pelo TCE ou outro valor estimado</t>
        </r>
      </text>
    </comment>
    <comment ref="D179" authorId="0" shapeId="0">
      <text>
        <r>
          <rPr>
            <sz val="10"/>
            <color rgb="FF000000"/>
            <rFont val="Arial"/>
            <charset val="1"/>
          </rPr>
          <t>======
ID#AAABj5x5LvA
    (2025-05-20 16:59:23)
Informar o preço unitário do equipamento compactador</t>
        </r>
      </text>
    </comment>
    <comment ref="C180" authorId="0" shapeId="0">
      <text>
        <r>
          <rPr>
            <sz val="10"/>
            <color rgb="FF000000"/>
            <rFont val="Arial"/>
            <charset val="1"/>
          </rPr>
          <t>======
ID#AAABj5x5Lu4
    (2025-05-20 16:59:23)
Informar a vida útil estimada para o compactador, em anos</t>
        </r>
      </text>
    </comment>
    <comment ref="C181" authorId="0" shapeId="0">
      <text>
        <r>
          <rPr>
            <sz val="10"/>
            <color rgb="FF000000"/>
            <rFont val="Arial"/>
            <charset val="1"/>
          </rPr>
          <t>======
ID#AAABj5x5Llc
    (2025-05-20 16:59:23)
Na elaboração do orçamento-base da licitação, informar 0 (zero). Na proposta da licitante, informar a idade do compactador proposto.</t>
        </r>
      </text>
    </comment>
    <comment ref="C182" authorId="0" shapeId="0">
      <text>
        <r>
          <rPr>
            <sz val="10"/>
            <color rgb="FF000000"/>
            <rFont val="Arial"/>
            <charset val="1"/>
          </rPr>
          <t>======
ID#AAABj5x5LtE
    (2025-05-20 16:59:23)
Informar o valor da depreciação do compactador, adotando o valor sugerido pelo TCE ou outro valor estimado</t>
        </r>
      </text>
    </comment>
    <comment ref="C185" authorId="0" shapeId="0">
      <text>
        <r>
          <rPr>
            <sz val="10"/>
            <color rgb="FF000000"/>
            <rFont val="Arial"/>
            <charset val="1"/>
          </rPr>
          <t>======
ID#AAABj5x5K8k
    (2025-05-20 16:59:22)
Informar a quantidade de caminhões compactadores do respectivo modelo</t>
        </r>
      </text>
    </comment>
    <comment ref="C191" authorId="0" shapeId="0">
      <text>
        <r>
          <rPr>
            <sz val="10"/>
            <color rgb="FF000000"/>
            <rFont val="Arial"/>
            <charset val="1"/>
          </rPr>
          <t>======
ID#AAABj5x5LIc
    (2025-05-20 16:59:22)
Informar a taxa de juros anual para remuneração do capital. Recomenda-se o uso da Taxa SELIC</t>
        </r>
      </text>
    </comment>
    <comment ref="C218" authorId="0" shapeId="0">
      <text>
        <r>
          <rPr>
            <sz val="10"/>
            <color rgb="FF000000"/>
            <rFont val="Arial"/>
            <charset val="1"/>
          </rPr>
          <t>======
ID#AAABj5x5LMI
    (2025-05-20 16:59:22)
Informar o consumo estimado do veículo em km/l</t>
        </r>
      </text>
    </comment>
    <comment ref="D224" authorId="0" shapeId="0">
      <text>
        <r>
          <rPr>
            <sz val="10"/>
            <color rgb="FF000000"/>
            <rFont val="Arial"/>
            <charset val="1"/>
          </rPr>
          <t>======
ID#AAABj5x5LlE
    (2025-05-20 16:59:23)
Informar o custo de manutenção em R$/km rodado</t>
        </r>
      </text>
    </comment>
    <comment ref="C229" authorId="0" shapeId="0">
      <text>
        <r>
          <rPr>
            <sz val="10"/>
            <color rgb="FF000000"/>
            <rFont val="Arial"/>
            <charset val="1"/>
          </rPr>
          <t>======
ID#AAABj5x5LyA
    (2025-05-20 16:59:23)
Informar a quantidade de pneus novos de 1 caminhão</t>
        </r>
      </text>
    </comment>
    <comment ref="C230" authorId="0" shapeId="0">
      <text>
        <r>
          <rPr>
            <sz val="10"/>
            <color rgb="FF000000"/>
            <rFont val="Arial"/>
            <charset val="1"/>
          </rPr>
          <t>======
ID#AAABj5x5LYA
    (2025-05-20 16:59:22)
Informar o número de recapagens por pneu</t>
        </r>
      </text>
    </comment>
    <comment ref="C232" authorId="0" shapeId="0">
      <text>
        <r>
          <rPr>
            <sz val="10"/>
            <color rgb="FF000000"/>
            <rFont val="Arial"/>
            <charset val="1"/>
          </rPr>
          <t>======
ID#AAABj5x5K74
    (2025-05-20 16:59:22)
Informar a durabilidade média dos pneus considerando todas as recapagens, em km</t>
        </r>
      </text>
    </comment>
    <comment ref="C261" authorId="0" shapeId="0">
      <text>
        <r>
          <rPr>
            <sz val="10"/>
            <color rgb="FF000000"/>
            <rFont val="Arial"/>
            <charset val="1"/>
          </rPr>
          <t>======
ID#AAABj5x5LmA
    (2025-05-20 16:59:23)
Informar a quantidade estimada por mês. Por exemplo, se a durabilidade estimada é de 6 meses, informar 1/6; se a durabilidade estimada é de 3 meses informar 1/3, etc..</t>
        </r>
      </text>
    </comment>
    <comment ref="D261" authorId="0" shapeId="0">
      <text>
        <r>
          <rPr>
            <sz val="10"/>
            <color rgb="FF000000"/>
            <rFont val="Arial"/>
            <charset val="1"/>
          </rPr>
          <t>======
ID#AAABj5x5LmI
    (2025-05-20 16:59:23)
Informar o valor unitário estimado para aquisição de cada material</t>
        </r>
      </text>
    </comment>
    <comment ref="C262" authorId="0" shapeId="0">
      <text>
        <r>
          <rPr>
            <sz val="10"/>
            <color rgb="FF000000"/>
            <rFont val="Arial"/>
            <charset val="1"/>
          </rPr>
          <t>======
ID#AAABj5x5K70
    (2025-05-20 16:59:22)
Informar a quantidade estimada por mês. Por exemplo, se a durabilidade estimada é de 6 meses, informar 1/6; se a durabilidade estimada é de 3 meses informar 1/3, etc..</t>
        </r>
      </text>
    </comment>
    <comment ref="D262" authorId="0" shapeId="0">
      <text>
        <r>
          <rPr>
            <sz val="10"/>
            <color rgb="FF000000"/>
            <rFont val="Arial"/>
            <charset val="1"/>
          </rPr>
          <t>======
ID#AAABj5x5Lac
    (2025-05-20 16:59:22)
Informar o valor unitário estimado para aquisição de cada material</t>
        </r>
      </text>
    </comment>
    <comment ref="C263" authorId="0" shapeId="0">
      <text>
        <r>
          <rPr>
            <sz val="10"/>
            <color rgb="FF000000"/>
            <rFont val="Arial"/>
            <charset val="1"/>
          </rPr>
          <t>======
ID#AAABj5x5Lgo
    (2025-05-20 16:59:22)
Informar a quantidade estimada por mês. Por exemplo, se a durabilidade estimada é de 6 meses, informar 1/6; se a durabilidade estimada é de 3 meses informar 1/3, etc..</t>
        </r>
      </text>
    </comment>
    <comment ref="D263" authorId="0" shapeId="0">
      <text>
        <r>
          <rPr>
            <sz val="10"/>
            <color rgb="FF000000"/>
            <rFont val="Arial"/>
            <charset val="1"/>
          </rPr>
          <t>======
ID#AAABj5x5Lho
    (2025-05-20 16:59:22)
Informar o valor unitário estimado para aquisição de cada material</t>
        </r>
      </text>
    </comment>
    <comment ref="C264" authorId="0" shapeId="0">
      <text>
        <r>
          <rPr>
            <sz val="10"/>
            <color rgb="FF000000"/>
            <rFont val="Arial"/>
            <charset val="1"/>
          </rPr>
          <t>======
ID#AAABj5x5Lvg
    (2025-05-20 16:59:23)
Informar a quantidade estimada por mês. Por exemplo, se a durabilidade estimada é de 6 meses, informar 1/6; se a durabilidade estimada é de 3 meses informar 1/3, etc..</t>
        </r>
      </text>
    </comment>
    <comment ref="D264" authorId="0" shapeId="0">
      <text>
        <r>
          <rPr>
            <sz val="10"/>
            <color rgb="FF000000"/>
            <rFont val="Arial"/>
            <charset val="1"/>
          </rPr>
          <t>======
ID#AAABj5x5Lrg
    (2025-05-20 16:59:23)
Informar o valor unitário estimado para aquisição de cada material</t>
        </r>
      </text>
    </comment>
    <comment ref="C274" authorId="0" shapeId="0">
      <text>
        <r>
          <rPr>
            <sz val="10"/>
            <color rgb="FF000000"/>
            <rFont val="Arial"/>
            <charset val="1"/>
          </rPr>
          <t>======
ID#AAABj5x5LOg
    (2025-05-20 16:59:22)
Preencher a aba 4.BDI</t>
        </r>
      </text>
    </comment>
    <comment ref="B281" authorId="0" shapeId="0">
      <text>
        <r>
          <rPr>
            <sz val="10"/>
            <color rgb="FF000000"/>
            <rFont val="Arial"/>
            <charset val="1"/>
          </rPr>
          <t>======
ID#AAABj5x5Lxs
    (2025-05-20 16:59:23)
Informar o fator de utilização das equipes de coleta. 
Por exemplo:
Equipes com utilização integral = 100%
Equipes com utilização parcial = n° horas trabalhadas por semana /44 horas</t>
        </r>
      </text>
    </comment>
    <comment ref="D289" authorId="0" shapeId="0">
      <text>
        <r>
          <rPr>
            <sz val="10"/>
            <color rgb="FF000000"/>
            <rFont val="Arial"/>
            <charset val="1"/>
          </rPr>
          <t>======
ID#AAABj5x5Li0
    (2025-05-20 16:59:23)
Informar a quantidade média coletada nos últimos 12 meses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181" authorId="0" shapeId="0">
      <text>
        <r>
          <rPr>
            <sz val="10"/>
            <color rgb="FF000000"/>
            <rFont val="Arial"/>
            <charset val="1"/>
          </rPr>
          <t>======
ID#AAABqonyeEs
Rafael Zacher    (2025-09-05 14:51:23)
Somado o custo do combustível do caminhão e da varredeira mecânica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14" authorId="0" shapeId="0">
      <text>
        <r>
          <rPr>
            <sz val="10"/>
            <color rgb="FF000000"/>
            <rFont val="Arial"/>
            <charset val="1"/>
          </rPr>
          <t>======
ID#AAABj5x5LLc
    (2025-05-20 16:59:22)
Qualquer custo previsto no edital e não contemplado nesta planilha modelo deverá ser devidamente incluído</t>
        </r>
      </text>
    </comment>
    <comment ref="B48" authorId="0" shapeId="0">
      <text>
        <r>
          <rPr>
            <sz val="10"/>
            <color rgb="FF000000"/>
            <rFont val="Arial"/>
            <charset val="1"/>
          </rPr>
          <t>======
ID#AAABj5x5LlU
    (2025-05-20 16:59:23)
Informar o fator de utilização das equipes de coleta. 
Por exemplo:
Equipes com utilização integral = 100%
Equipes com utilização parcial = n° horas trabalhadas por semana /44 horas</t>
        </r>
      </text>
    </comment>
    <comment ref="C57" authorId="0" shapeId="0">
      <text>
        <r>
          <rPr>
            <sz val="10"/>
            <color rgb="FF000000"/>
            <rFont val="Arial"/>
            <charset val="1"/>
          </rPr>
          <t>======
ID#AAABj5x5Lkg
    (2025-05-20 16:59:23)
Preencher a planilha Encargos Sociais e CAGED</t>
        </r>
      </text>
    </comment>
    <comment ref="C59" authorId="0" shapeId="0">
      <text>
        <r>
          <rPr>
            <sz val="10"/>
            <color rgb="FF000000"/>
            <rFont val="Arial"/>
            <charset val="1"/>
          </rPr>
          <t>======
ID#AAABj5x5K7Q
    (2025-05-20 16:59:22)
Informar a quantidade de trabalhadores na função</t>
        </r>
      </text>
    </comment>
    <comment ref="D65" authorId="0" shapeId="0">
      <text>
        <r>
          <rPr>
            <sz val="10"/>
            <color rgb="FF000000"/>
            <rFont val="Arial"/>
            <charset val="1"/>
          </rPr>
          <t>======
ID#AAABj5x5K-o
    (2025-05-20 16:59:22)
Informar o valor do salário Mínimo Nacional</t>
        </r>
      </text>
    </comment>
    <comment ref="C66" authorId="0" shapeId="0">
      <text>
        <r>
          <rPr>
            <sz val="10"/>
            <color rgb="FF000000"/>
            <rFont val="Arial"/>
            <charset val="1"/>
          </rPr>
          <t>======
ID#AAABj5x5LLI
    (2025-05-20 16:59:22)
Informar 1 se a base de cálculo for o Salário Mínimo Nacional; Informar 2 se a base de cálculo for o Piso da Categoria;</t>
        </r>
      </text>
    </comment>
    <comment ref="C67" authorId="0" shapeId="0">
      <text>
        <r>
          <rPr>
            <sz val="10"/>
            <color rgb="FF000000"/>
            <rFont val="Arial"/>
            <charset val="1"/>
          </rPr>
          <t>======
ID#AAABj5x5LkQ
    (2025-05-20 16:59:23)
Percentual estabelecido nas Normas de Segurança de Trabalho ou pelo laudo de responsável técnico devidamente habilitado</t>
        </r>
      </text>
    </comment>
    <comment ref="C69" authorId="0" shapeId="0">
      <text>
        <r>
          <rPr>
            <sz val="10"/>
            <color rgb="FF000000"/>
            <rFont val="Arial"/>
            <charset val="1"/>
          </rPr>
          <t>======
ID#AAABj5x5K9M
    (2025-05-20 16:59:22)
Preencher a planilha Encargos Sociais e CAGED</t>
        </r>
      </text>
    </comment>
    <comment ref="C71" authorId="0" shapeId="0">
      <text>
        <r>
          <rPr>
            <sz val="10"/>
            <color rgb="FF000000"/>
            <rFont val="Arial"/>
            <charset val="1"/>
          </rPr>
          <t>======
ID#AAABj5x5Lv8
    (2025-05-20 16:59:23)
Informar a quantidade de trabalhadores na função</t>
        </r>
      </text>
    </comment>
    <comment ref="C77" authorId="0" shapeId="0">
      <text>
        <r>
          <rPr>
            <sz val="10"/>
            <color rgb="FF000000"/>
            <rFont val="Arial"/>
            <charset val="1"/>
          </rPr>
          <t>======
ID#AAABj5x5K7M
    (2025-05-20 16:59:22)
Informar o número médio de dias trabalhados por mês</t>
        </r>
      </text>
    </comment>
    <comment ref="D78" authorId="0" shapeId="0">
      <text>
        <r>
          <rPr>
            <sz val="10"/>
            <color rgb="FF000000"/>
            <rFont val="Arial"/>
            <charset val="1"/>
          </rPr>
          <t>======
ID#AAABj5x5K7U
    (2025-05-20 16:59:22)
Valor Unitário considerando o desconto legal de até 6% do salário</t>
        </r>
      </text>
    </comment>
    <comment ref="D79" authorId="0" shapeId="0">
      <text>
        <r>
          <rPr>
            <sz val="10"/>
            <color rgb="FF000000"/>
            <rFont val="Arial"/>
            <charset val="1"/>
          </rPr>
          <t>======
ID#AAABj5x5Lr8
    (2025-05-20 16:59:23)
Valor Unitário considerando o desconto legal de até 6% do salário</t>
        </r>
      </text>
    </comment>
    <comment ref="D90" authorId="0" shapeId="0">
      <text>
        <r>
          <rPr>
            <sz val="10"/>
            <color rgb="FF000000"/>
            <rFont val="Arial"/>
            <charset val="1"/>
          </rPr>
          <t>======
ID#AAABj5x5LcA
    (2025-05-20 16:59:22)
Informar o valor mensal do auxilio alimentação, considerando o desconto aplicável ao funcionário, conforme Convenção Coletiva da categoria</t>
        </r>
      </text>
    </comment>
    <comment ref="C101" authorId="0" shapeId="0">
      <text>
        <r>
          <rPr>
            <sz val="10"/>
            <color rgb="FF000000"/>
            <rFont val="Arial"/>
            <charset val="1"/>
          </rPr>
          <t>======
ID#AAABj5x5Lo4
    (2025-05-20 16:59:23)
Informar a durabilidade estimada em meses, para cada EPI</t>
        </r>
      </text>
    </comment>
    <comment ref="D101" authorId="0" shapeId="0">
      <text>
        <r>
          <rPr>
            <sz val="10"/>
            <color rgb="FF000000"/>
            <rFont val="Arial"/>
            <charset val="1"/>
          </rPr>
          <t>======
ID#AAABj5x5LQo
    (2025-05-20 16:59:22)
Informar o valor unitário estimado para aquisição de cada EPI</t>
        </r>
      </text>
    </comment>
    <comment ref="C102" authorId="0" shapeId="0">
      <text>
        <r>
          <rPr>
            <sz val="10"/>
            <color rgb="FF000000"/>
            <rFont val="Arial"/>
            <charset val="1"/>
          </rPr>
          <t>======
ID#AAABj5x5LZo
    (2025-05-20 16:59:22)
Informar a durabilidade estimada em meses, para cada EPI</t>
        </r>
      </text>
    </comment>
    <comment ref="D102" authorId="0" shapeId="0">
      <text>
        <r>
          <rPr>
            <sz val="10"/>
            <color rgb="FF000000"/>
            <rFont val="Arial"/>
            <charset val="1"/>
          </rPr>
          <t>======
ID#AAABj5x5LRQ
    (2025-05-20 16:59:22)
Informar o valor unitário estimado para aquisição de cada EPI</t>
        </r>
      </text>
    </comment>
    <comment ref="C103" authorId="0" shapeId="0">
      <text>
        <r>
          <rPr>
            <sz val="10"/>
            <color rgb="FF000000"/>
            <rFont val="Arial"/>
            <charset val="1"/>
          </rPr>
          <t>======
ID#AAABj5x5Lzs
    (2025-05-20 16:59:23)
Informar a durabilidade estimada em meses, para cada EPI</t>
        </r>
      </text>
    </comment>
    <comment ref="D103" authorId="0" shapeId="0">
      <text>
        <r>
          <rPr>
            <sz val="10"/>
            <color rgb="FF000000"/>
            <rFont val="Arial"/>
            <charset val="1"/>
          </rPr>
          <t>======
ID#AAABj5x5LVI
    (2025-05-20 16:59:22)
Informar o valor unitário estimado para aquisição de cada EPI</t>
        </r>
      </text>
    </comment>
    <comment ref="C104" authorId="0" shapeId="0">
      <text>
        <r>
          <rPr>
            <sz val="10"/>
            <color rgb="FF000000"/>
            <rFont val="Arial"/>
            <charset val="1"/>
          </rPr>
          <t>======
ID#AAABj5x5LQs
    (2025-05-20 16:59:22)
Informar a durabilidade estimada em meses, para cada EPI</t>
        </r>
      </text>
    </comment>
    <comment ref="D104" authorId="0" shapeId="0">
      <text>
        <r>
          <rPr>
            <sz val="10"/>
            <color rgb="FF000000"/>
            <rFont val="Arial"/>
            <charset val="1"/>
          </rPr>
          <t>======
ID#AAABj5x5LTA
    (2025-05-20 16:59:22)
Informar o valor unitário estimado para aquisição de cada EPI</t>
        </r>
      </text>
    </comment>
    <comment ref="C105" authorId="0" shapeId="0">
      <text>
        <r>
          <rPr>
            <sz val="10"/>
            <color rgb="FF000000"/>
            <rFont val="Arial"/>
            <charset val="1"/>
          </rPr>
          <t>======
ID#AAABj5x5K8M
    (2025-05-20 16:59:22)
Informar a durabilidade estimada em meses, para cada EPI</t>
        </r>
      </text>
    </comment>
    <comment ref="D105" authorId="0" shapeId="0">
      <text>
        <r>
          <rPr>
            <sz val="10"/>
            <color rgb="FF000000"/>
            <rFont val="Arial"/>
            <charset val="1"/>
          </rPr>
          <t>======
ID#AAABj5x5Lp0
    (2025-05-20 16:59:23)
Informar o valor unitário estimado para aquisição de cada EPI</t>
        </r>
      </text>
    </comment>
    <comment ref="C106" authorId="0" shapeId="0">
      <text>
        <r>
          <rPr>
            <sz val="10"/>
            <color rgb="FF000000"/>
            <rFont val="Arial"/>
            <charset val="1"/>
          </rPr>
          <t>======
ID#AAABj5x5Lg0
    (2025-05-20 16:59:22)
Informar a durabilidade estimada em meses, para cada EPI</t>
        </r>
      </text>
    </comment>
    <comment ref="D106" authorId="0" shapeId="0">
      <text>
        <r>
          <rPr>
            <sz val="10"/>
            <color rgb="FF000000"/>
            <rFont val="Arial"/>
            <charset val="1"/>
          </rPr>
          <t>======
ID#AAABj5x5LrI
    (2025-05-20 16:59:23)
Informar o valor unitário estimado para aquisição de cada EPI</t>
        </r>
      </text>
    </comment>
    <comment ref="C107" authorId="0" shapeId="0">
      <text>
        <r>
          <rPr>
            <sz val="10"/>
            <color rgb="FF000000"/>
            <rFont val="Arial"/>
            <charset val="1"/>
          </rPr>
          <t>======
ID#AAABj5x5LoY
    (2025-05-20 16:59:23)
Informar a durabilidade estimada em meses, para cada EPI</t>
        </r>
      </text>
    </comment>
    <comment ref="D107" authorId="0" shapeId="0">
      <text>
        <r>
          <rPr>
            <sz val="10"/>
            <color rgb="FF000000"/>
            <rFont val="Arial"/>
            <charset val="1"/>
          </rPr>
          <t>======
ID#AAABj5x5Lm4
    (2025-05-20 16:59:23)
Informar o valor unitário estimado para aquisição de cada EPI</t>
        </r>
      </text>
    </comment>
    <comment ref="C108" authorId="0" shapeId="0">
      <text>
        <r>
          <rPr>
            <sz val="10"/>
            <color rgb="FF000000"/>
            <rFont val="Arial"/>
            <charset val="1"/>
          </rPr>
          <t>======
ID#AAABj5x5LaE
    (2025-05-20 16:59:22)
Informar a durabilidade estimada em meses, para cada EPI</t>
        </r>
      </text>
    </comment>
    <comment ref="D108" authorId="0" shapeId="0">
      <text>
        <r>
          <rPr>
            <sz val="10"/>
            <color rgb="FF000000"/>
            <rFont val="Arial"/>
            <charset val="1"/>
          </rPr>
          <t>======
ID#AAABj5x5K8o
    (2025-05-20 16:59:22)
Informar o valor unitário estimado para aquisição de cada EPI</t>
        </r>
      </text>
    </comment>
    <comment ref="C109" authorId="0" shapeId="0">
      <text>
        <r>
          <rPr>
            <sz val="10"/>
            <color rgb="FF000000"/>
            <rFont val="Arial"/>
            <charset val="1"/>
          </rPr>
          <t>======
ID#AAABj5x5Le8
    (2025-05-20 16:59:22)
Informar a durabilidade estimada em meses, para cada EPI</t>
        </r>
      </text>
    </comment>
    <comment ref="D109" authorId="0" shapeId="0">
      <text>
        <r>
          <rPr>
            <sz val="10"/>
            <color rgb="FF000000"/>
            <rFont val="Arial"/>
            <charset val="1"/>
          </rPr>
          <t>======
ID#AAABj5x5Lms
    (2025-05-20 16:59:23)
Informar o valor unitário estimado para aquisição de cada EPI</t>
        </r>
      </text>
    </comment>
    <comment ref="C110" authorId="0" shapeId="0">
      <text>
        <r>
          <rPr>
            <sz val="10"/>
            <color rgb="FF000000"/>
            <rFont val="Arial"/>
            <charset val="1"/>
          </rPr>
          <t>======
ID#AAABj5x5LSA
    (2025-05-20 16:59:22)
Informar a durabilidade estimada em meses, para cada EPI</t>
        </r>
      </text>
    </comment>
    <comment ref="D110" authorId="0" shapeId="0">
      <text>
        <r>
          <rPr>
            <sz val="10"/>
            <color rgb="FF000000"/>
            <rFont val="Arial"/>
            <charset val="1"/>
          </rPr>
          <t>======
ID#AAABj5x5LmU
    (2025-05-20 16:59:23)
Informar o valor unitário estimado para aquisição de cada EPI</t>
        </r>
      </text>
    </comment>
    <comment ref="C111" authorId="0" shapeId="0">
      <text>
        <r>
          <rPr>
            <sz val="10"/>
            <color rgb="FF000000"/>
            <rFont val="Arial"/>
            <charset val="1"/>
          </rPr>
          <t>======
ID#AAABj5x5LeA
    (2025-05-20 16:59:22)
Informar a durabilidade estimada em meses, para cada EPI</t>
        </r>
      </text>
    </comment>
    <comment ref="D111" authorId="0" shapeId="0">
      <text>
        <r>
          <rPr>
            <sz val="10"/>
            <color rgb="FF000000"/>
            <rFont val="Arial"/>
            <charset val="1"/>
          </rPr>
          <t>======
ID#AAABj5x5K6Y
    (2025-05-20 16:59:22)
Informar o valor unitário estimado para aquisição de cada EPI</t>
        </r>
      </text>
    </comment>
    <comment ref="C112" authorId="0" shapeId="0">
      <text>
        <r>
          <rPr>
            <sz val="10"/>
            <color rgb="FF000000"/>
            <rFont val="Arial"/>
            <charset val="1"/>
          </rPr>
          <t>======
ID#AAABj5x5LZU
    (2025-05-20 16:59:22)
Informar a durabilidade estimada em meses, para cada EPI</t>
        </r>
      </text>
    </comment>
    <comment ref="D112" authorId="0" shapeId="0">
      <text>
        <r>
          <rPr>
            <sz val="10"/>
            <color rgb="FF000000"/>
            <rFont val="Arial"/>
            <charset val="1"/>
          </rPr>
          <t>======
ID#AAABj5x5LUw
    (2025-05-20 16:59:22)
Informar o valor unitário estimado para aquisição de cada EPI</t>
        </r>
      </text>
    </comment>
    <comment ref="C119" authorId="0" shapeId="0">
      <text>
        <r>
          <rPr>
            <sz val="10"/>
            <color rgb="FF000000"/>
            <rFont val="Arial"/>
            <charset val="1"/>
          </rPr>
          <t>======
ID#AAABj5x5Lqk
    (2025-05-20 16:59:23)
Informar a durabilidade estimada em meses, para cada EPI</t>
        </r>
      </text>
    </comment>
    <comment ref="D119" authorId="0" shapeId="0">
      <text>
        <r>
          <rPr>
            <sz val="10"/>
            <color rgb="FF000000"/>
            <rFont val="Arial"/>
            <charset val="1"/>
          </rPr>
          <t>======
ID#AAABj5x5Lro
    (2025-05-20 16:59:23)
Informar o valor unitário estimado para aquisição de cada EPI</t>
        </r>
      </text>
    </comment>
    <comment ref="C120" authorId="0" shapeId="0">
      <text>
        <r>
          <rPr>
            <sz val="10"/>
            <color rgb="FF000000"/>
            <rFont val="Arial"/>
            <charset val="1"/>
          </rPr>
          <t>======
ID#AAABj5x5K9s
    (2025-05-20 16:59:22)
Informar a durabilidade estimada em meses, para cada EPI</t>
        </r>
      </text>
    </comment>
    <comment ref="D120" authorId="0" shapeId="0">
      <text>
        <r>
          <rPr>
            <sz val="10"/>
            <color rgb="FF000000"/>
            <rFont val="Arial"/>
            <charset val="1"/>
          </rPr>
          <t>======
ID#AAABj5x5LIo
    (2025-05-20 16:59:22)
Informar o valor unitário estimado para aquisição de cada EPI</t>
        </r>
      </text>
    </comment>
    <comment ref="C121" authorId="0" shapeId="0">
      <text>
        <r>
          <rPr>
            <sz val="10"/>
            <color rgb="FF000000"/>
            <rFont val="Arial"/>
            <charset val="1"/>
          </rPr>
          <t>======
ID#AAABj5x5LuQ
    (2025-05-20 16:59:23)
Informar a durabilidade estimada em meses, para cada EPI</t>
        </r>
      </text>
    </comment>
    <comment ref="D121" authorId="0" shapeId="0">
      <text>
        <r>
          <rPr>
            <sz val="10"/>
            <color rgb="FF000000"/>
            <rFont val="Arial"/>
            <charset val="1"/>
          </rPr>
          <t>======
ID#AAABj5x5Lh0
    (2025-05-20 16:59:22)
Informar o valor unitário estimado para aquisição de cada EPI</t>
        </r>
      </text>
    </comment>
    <comment ref="C122" authorId="0" shapeId="0">
      <text>
        <r>
          <rPr>
            <sz val="10"/>
            <color rgb="FF000000"/>
            <rFont val="Arial"/>
            <charset val="1"/>
          </rPr>
          <t>======
ID#AAABj5x5LSU
    (2025-05-20 16:59:22)
Informar a durabilidade estimada em meses, para cada EPI</t>
        </r>
      </text>
    </comment>
    <comment ref="D122" authorId="0" shapeId="0">
      <text>
        <r>
          <rPr>
            <sz val="10"/>
            <color rgb="FF000000"/>
            <rFont val="Arial"/>
            <charset val="1"/>
          </rPr>
          <t>======
ID#AAABj5x5Lmc
    (2025-05-20 16:59:23)
Informar o valor unitário estimado para aquisição de cada EPI</t>
        </r>
      </text>
    </comment>
    <comment ref="C123" authorId="0" shapeId="0">
      <text>
        <r>
          <rPr>
            <sz val="10"/>
            <color rgb="FF000000"/>
            <rFont val="Arial"/>
            <charset val="1"/>
          </rPr>
          <t>======
ID#AAABj5x5LtI
    (2025-05-20 16:59:23)
Informar a durabilidade estimada em meses, para cada EPI</t>
        </r>
      </text>
    </comment>
    <comment ref="D123" authorId="0" shapeId="0">
      <text>
        <r>
          <rPr>
            <sz val="10"/>
            <color rgb="FF000000"/>
            <rFont val="Arial"/>
            <charset val="1"/>
          </rPr>
          <t>======
ID#AAABj5x5LTU
    (2025-05-20 16:59:22)
Informar o valor unitário estimado para aquisição de cada EPI</t>
        </r>
      </text>
    </comment>
    <comment ref="C124" authorId="0" shapeId="0">
      <text>
        <r>
          <rPr>
            <sz val="10"/>
            <color rgb="FF000000"/>
            <rFont val="Arial"/>
            <charset val="1"/>
          </rPr>
          <t>======
ID#AAABj5x5Lak
    (2025-05-20 16:59:22)
Informar a durabilidade estimada em meses, para cada EPI</t>
        </r>
      </text>
    </comment>
    <comment ref="D124" authorId="0" shapeId="0">
      <text>
        <r>
          <rPr>
            <sz val="10"/>
            <color rgb="FF000000"/>
            <rFont val="Arial"/>
            <charset val="1"/>
          </rPr>
          <t>======
ID#AAABj5x5LmM
    (2025-05-20 16:59:23)
Informar o valor unitário estimado para aquisição de cada EPI</t>
        </r>
      </text>
    </comment>
    <comment ref="C125" authorId="0" shapeId="0">
      <text>
        <r>
          <rPr>
            <sz val="10"/>
            <color rgb="FF000000"/>
            <rFont val="Arial"/>
            <charset val="1"/>
          </rPr>
          <t>======
ID#AAABj5x5K6g
    (2025-05-20 16:59:22)
Informar a durabilidade estimada em meses, para cada EPI</t>
        </r>
      </text>
    </comment>
    <comment ref="D125" authorId="0" shapeId="0">
      <text>
        <r>
          <rPr>
            <sz val="10"/>
            <color rgb="FF000000"/>
            <rFont val="Arial"/>
            <charset val="1"/>
          </rPr>
          <t>======
ID#AAABj5x5Lww
    (2025-05-20 16:59:23)
Informar o valor unitário estimado para aquisição de cada EPI</t>
        </r>
      </text>
    </comment>
    <comment ref="C126" authorId="0" shapeId="0">
      <text>
        <r>
          <rPr>
            <sz val="10"/>
            <color rgb="FF000000"/>
            <rFont val="Arial"/>
            <charset val="1"/>
          </rPr>
          <t>======
ID#AAABj5x5LQk
    (2025-05-20 16:59:22)
Informar a durabilidade estimada em meses, para cada EPI</t>
        </r>
      </text>
    </comment>
    <comment ref="D126" authorId="0" shapeId="0">
      <text>
        <r>
          <rPr>
            <sz val="10"/>
            <color rgb="FF000000"/>
            <rFont val="Arial"/>
            <charset val="1"/>
          </rPr>
          <t>======
ID#AAABj5x5LIs
    (2025-05-20 16:59:22)
Informar o valor unitário estimado para aquisição de cada EPI</t>
        </r>
      </text>
    </comment>
    <comment ref="C127" authorId="0" shapeId="0">
      <text>
        <r>
          <rPr>
            <sz val="10"/>
            <color rgb="FF000000"/>
            <rFont val="Arial"/>
            <charset val="1"/>
          </rPr>
          <t>======
ID#AAABj5x5K-M
    (2025-05-20 16:59:22)
Informar a durabilidade estimada em meses, para cada EPI</t>
        </r>
      </text>
    </comment>
    <comment ref="D127" authorId="0" shapeId="0">
      <text>
        <r>
          <rPr>
            <sz val="10"/>
            <color rgb="FF000000"/>
            <rFont val="Arial"/>
            <charset val="1"/>
          </rPr>
          <t>======
ID#AAABj5x5K6k
    (2025-05-20 16:59:22)
Informar o valor unitário estimado para aquisição de cada EPI</t>
        </r>
      </text>
    </comment>
    <comment ref="C128" authorId="0" shapeId="0">
      <text>
        <r>
          <rPr>
            <sz val="10"/>
            <color rgb="FF000000"/>
            <rFont val="Arial"/>
            <charset val="1"/>
          </rPr>
          <t>======
ID#AAABj5x5Lz8
    (2025-05-20 16:59:23)
Informar a durabilidade estimada em meses, para cada EPI</t>
        </r>
      </text>
    </comment>
    <comment ref="D128" authorId="0" shapeId="0">
      <text>
        <r>
          <rPr>
            <sz val="10"/>
            <color rgb="FF000000"/>
            <rFont val="Arial"/>
            <charset val="1"/>
          </rPr>
          <t>======
ID#AAABj5x5Lik
    (2025-05-20 16:59:23)
Informar o valor unitário estimado para aquisição de cada EPI</t>
        </r>
      </text>
    </comment>
    <comment ref="D141" authorId="0" shapeId="0">
      <text>
        <r>
          <rPr>
            <sz val="10"/>
            <color rgb="FF000000"/>
            <rFont val="Arial"/>
            <charset val="1"/>
          </rPr>
          <t>======
ID#AAABj5x5K7Y
    (2025-05-20 16:59:22)
Informar o preço unitário do chassis do caminhão de coleta</t>
        </r>
      </text>
    </comment>
    <comment ref="C142" authorId="0" shapeId="0">
      <text>
        <r>
          <rPr>
            <sz val="10"/>
            <color rgb="FF000000"/>
            <rFont val="Arial"/>
            <charset val="1"/>
          </rPr>
          <t>======
ID#AAABj5x5K-Q
    (2025-05-20 16:59:22)
Informar a vida útil estimada para o caminhão, em anos</t>
        </r>
      </text>
    </comment>
    <comment ref="C143" authorId="0" shapeId="0">
      <text>
        <r>
          <rPr>
            <sz val="10"/>
            <color rgb="FF000000"/>
            <rFont val="Arial"/>
            <charset val="1"/>
          </rPr>
          <t>======
ID#AAABj5x5LTM
    (2025-05-20 16:59:22)
Na elaboração do orçamento-base da licitação, informar 0 (zero). Na proposta da licitante, informar a idade do veículo proposto.</t>
        </r>
      </text>
    </comment>
    <comment ref="C144" authorId="0" shapeId="0">
      <text>
        <r>
          <rPr>
            <sz val="10"/>
            <color rgb="FF000000"/>
            <rFont val="Arial"/>
            <charset val="1"/>
          </rPr>
          <t>======
ID#AAABj5x5K9Q
    (2025-05-20 16:59:22)
Informar o valor da depreciação do caminhão, adotando o valor sugerido pelo TCE ou outro valor estimado</t>
        </r>
      </text>
    </comment>
    <comment ref="C147" authorId="0" shapeId="0">
      <text>
        <r>
          <rPr>
            <sz val="10"/>
            <color rgb="FF000000"/>
            <rFont val="Arial"/>
            <charset val="1"/>
          </rPr>
          <t>======
ID#AAABj5x5LvQ
    (2025-05-20 16:59:23)
Informar a quantidade de caminhões compactadores do respectivo modelo</t>
        </r>
      </text>
    </comment>
    <comment ref="C153" authorId="0" shapeId="0">
      <text>
        <r>
          <rPr>
            <sz val="10"/>
            <color rgb="FF000000"/>
            <rFont val="Arial"/>
            <charset val="1"/>
          </rPr>
          <t>======
ID#AAABj5x5LQU
    (2025-05-20 16:59:22)
Informar a taxa de juros anual para remuneração do capital. Recomenda-se o uso da Taxa SELIC</t>
        </r>
      </text>
    </comment>
    <comment ref="B171" authorId="0" shapeId="0">
      <text>
        <r>
          <rPr>
            <sz val="10"/>
            <color rgb="FF000000"/>
            <rFont val="Arial"/>
            <charset val="1"/>
          </rPr>
          <t>======
ID#AAABj5x5LXA
    (2025-05-20 16:59:22)
Informar a quilometragem mensal percorrida, de acordo com o projeto básico</t>
        </r>
      </text>
    </comment>
    <comment ref="C175" authorId="0" shapeId="0">
      <text>
        <r>
          <rPr>
            <sz val="10"/>
            <color rgb="FF000000"/>
            <rFont val="Arial"/>
            <charset val="1"/>
          </rPr>
          <t>======
ID#AAABj5x5LUA
    (2025-05-20 16:59:22)
Informar o consumo estimado do veículo em km/l</t>
        </r>
      </text>
    </comment>
    <comment ref="D175" authorId="0" shapeId="0">
      <text>
        <r>
          <rPr>
            <sz val="10"/>
            <color rgb="FF000000"/>
            <rFont val="Arial"/>
            <charset val="1"/>
          </rPr>
          <t>======
ID#AAABj5x5Lkw
    (2025-05-20 16:59:23)
Informar o preço unitário do combustivel</t>
        </r>
      </text>
    </comment>
    <comment ref="D181" authorId="0" shapeId="0">
      <text>
        <r>
          <rPr>
            <sz val="10"/>
            <color rgb="FF000000"/>
            <rFont val="Arial"/>
            <charset val="1"/>
          </rPr>
          <t>======
ID#AAABj5x5LWk
    (2025-05-20 16:59:22)
Informar o custo de manutenção em R$/km rodado</t>
        </r>
      </text>
    </comment>
    <comment ref="C186" authorId="0" shapeId="0">
      <text>
        <r>
          <rPr>
            <sz val="10"/>
            <color rgb="FF000000"/>
            <rFont val="Arial"/>
            <charset val="1"/>
          </rPr>
          <t>======
ID#AAABj5x5LL8
    (2025-05-20 16:59:22)
Informar a quantidade de pneus novos de 1 caminhão</t>
        </r>
      </text>
    </comment>
    <comment ref="C187" authorId="0" shapeId="0">
      <text>
        <r>
          <rPr>
            <sz val="10"/>
            <color rgb="FF000000"/>
            <rFont val="Arial"/>
            <charset val="1"/>
          </rPr>
          <t>======
ID#AAABj5x5LSw
    (2025-05-20 16:59:22)
Informar o número de recapagens por pneu</t>
        </r>
      </text>
    </comment>
    <comment ref="C189" authorId="0" shapeId="0">
      <text>
        <r>
          <rPr>
            <sz val="10"/>
            <color rgb="FF000000"/>
            <rFont val="Arial"/>
            <charset val="1"/>
          </rPr>
          <t>======
ID#AAABj5x5LZ8
    (2025-05-20 16:59:22)
Informar a durabilidade média dos pneus considerando todas as recapagens, em km</t>
        </r>
      </text>
    </comment>
    <comment ref="C212" authorId="0" shapeId="0">
      <text>
        <r>
          <rPr>
            <sz val="10"/>
            <color rgb="FF000000"/>
            <rFont val="Arial"/>
            <charset val="1"/>
          </rPr>
          <t>======
ID#AAABj5x5LKY
    (2025-05-20 16:59:22)
Informar a quantidade estimada por mês. Por exemplo, se a durabilidade estimada é de 6 meses, informar 1/6; se a durabilidade estimada é de 3 meses informar 1/3, etc..</t>
        </r>
      </text>
    </comment>
    <comment ref="D212" authorId="0" shapeId="0">
      <text>
        <r>
          <rPr>
            <sz val="10"/>
            <color rgb="FF000000"/>
            <rFont val="Arial"/>
            <charset val="1"/>
          </rPr>
          <t>======
ID#AAABj5x5Les
    (2025-05-20 16:59:22)
Informar o valor unitário estimado para aquisição de cada material</t>
        </r>
      </text>
    </comment>
    <comment ref="C213" authorId="0" shapeId="0">
      <text>
        <r>
          <rPr>
            <sz val="10"/>
            <color rgb="FF000000"/>
            <rFont val="Arial"/>
            <charset val="1"/>
          </rPr>
          <t>======
ID#AAABj5x5LzY
    (2025-05-20 16:59:23)
Informar a quantidade estimada por mês. Por exemplo, se a durabilidade estimada é de 6 meses, informar 1/6; se a durabilidade estimada é de 3 meses informar 1/3, etc..</t>
        </r>
      </text>
    </comment>
    <comment ref="D213" authorId="0" shapeId="0">
      <text>
        <r>
          <rPr>
            <sz val="10"/>
            <color rgb="FF000000"/>
            <rFont val="Arial"/>
            <charset val="1"/>
          </rPr>
          <t>======
ID#AAABj5x5Llk
    (2025-05-20 16:59:23)
Informar o valor unitário estimado para aquisição de cada material</t>
        </r>
      </text>
    </comment>
    <comment ref="C214" authorId="0" shapeId="0">
      <text>
        <r>
          <rPr>
            <sz val="10"/>
            <color rgb="FF000000"/>
            <rFont val="Arial"/>
            <charset val="1"/>
          </rPr>
          <t>======
ID#AAABj5x5Lag
    (2025-05-20 16:59:22)
Informar a quantidade estimada por mês. Por exemplo, se a durabilidade estimada é de 6 meses, informar 1/6; se a durabilidade estimada é de 3 meses informar 1/3, etc..</t>
        </r>
      </text>
    </comment>
    <comment ref="D214" authorId="0" shapeId="0">
      <text>
        <r>
          <rPr>
            <sz val="10"/>
            <color rgb="FF000000"/>
            <rFont val="Arial"/>
            <charset val="1"/>
          </rPr>
          <t>======
ID#AAABj5x5Lks
    (2025-05-20 16:59:23)
Informar o valor unitário estimado para aquisição de cada material</t>
        </r>
      </text>
    </comment>
    <comment ref="C215" authorId="0" shapeId="0">
      <text>
        <r>
          <rPr>
            <sz val="10"/>
            <color rgb="FF000000"/>
            <rFont val="Arial"/>
            <charset val="1"/>
          </rPr>
          <t>======
ID#AAABj5x5LbY
    (2025-05-20 16:59:22)
Informar a quantidade estimada por mês. Por exemplo, se a durabilidade estimada é de 6 meses, informar 1/6; se a durabilidade estimada é de 3 meses informar 1/3, etc..</t>
        </r>
      </text>
    </comment>
    <comment ref="D215" authorId="0" shapeId="0">
      <text>
        <r>
          <rPr>
            <sz val="10"/>
            <color rgb="FF000000"/>
            <rFont val="Arial"/>
            <charset val="1"/>
          </rPr>
          <t>======
ID#AAABj5x5Luk
    (2025-05-20 16:59:23)
Informar o valor unitário estimado para aquisição de cada material</t>
        </r>
      </text>
    </comment>
    <comment ref="C216" authorId="0" shapeId="0">
      <text>
        <r>
          <rPr>
            <sz val="10"/>
            <color rgb="FF000000"/>
            <rFont val="Arial"/>
            <charset val="1"/>
          </rPr>
          <t>======
ID#AAABj5x5L0I
    (2025-05-20 16:59:23)
Informar a quantidade estimada por mês. Por exemplo, se a durabilidade estimada é de 6 meses, informar 1/6; se a durabilidade estimada é de 3 meses informar 1/3, etc..</t>
        </r>
      </text>
    </comment>
    <comment ref="D216" authorId="0" shapeId="0">
      <text>
        <r>
          <rPr>
            <sz val="10"/>
            <color rgb="FF000000"/>
            <rFont val="Arial"/>
            <charset val="1"/>
          </rPr>
          <t>======
ID#AAABj5x5K7A
    (2025-05-20 16:59:22)
Informar o valor unitário estimado para aquisição de cada material</t>
        </r>
      </text>
    </comment>
    <comment ref="C226" authorId="0" shapeId="0">
      <text>
        <r>
          <rPr>
            <sz val="10"/>
            <color rgb="FF000000"/>
            <rFont val="Arial"/>
            <charset val="1"/>
          </rPr>
          <t>======
ID#AAABj5x5LSk
    (2025-05-20 16:59:22)
Preencher a aba 4.BDI</t>
        </r>
      </text>
    </comment>
    <comment ref="B233" authorId="0" shapeId="0">
      <text>
        <r>
          <rPr>
            <sz val="10"/>
            <color rgb="FF000000"/>
            <rFont val="Arial"/>
            <charset val="1"/>
          </rPr>
          <t>======
ID#AAABj5x5LUE
    (2025-05-20 16:59:22)
Informar o fator de utilização das equipes de coleta. 
Por exemplo:
Equipes com utilização integral = 100%
Equipes com utilização parcial = n° horas trabalhadas por semana /44 horas</t>
        </r>
      </text>
    </comment>
    <comment ref="D242" authorId="0" shapeId="0">
      <text>
        <r>
          <rPr>
            <sz val="10"/>
            <color rgb="FF000000"/>
            <rFont val="Arial"/>
            <charset val="1"/>
          </rPr>
          <t>======
ID#AAABj5x5LaA
    (2025-05-20 16:59:22)
Informar a quantidade média coletada nos últimos 12 meses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14" authorId="0" shapeId="0">
      <text>
        <r>
          <rPr>
            <sz val="10"/>
            <color rgb="FF000000"/>
            <rFont val="Arial"/>
            <charset val="1"/>
          </rPr>
          <t>======
ID#AAABj5x5LN4
    (2025-05-20 16:59:22)
Qualquer custo previsto no edital e não contemplado nesta planilha modelo deverá ser devidamente incluído</t>
        </r>
      </text>
    </comment>
    <comment ref="B57" authorId="0" shapeId="0">
      <text>
        <r>
          <rPr>
            <sz val="10"/>
            <color rgb="FF000000"/>
            <rFont val="Arial"/>
            <charset val="1"/>
          </rPr>
          <t>======
ID#AAABj5x5LOI
    (2025-05-20 16:59:22)
Informar o fator de utilização das equipes de coleta. 
Por exemplo:
Equipes com utilização integral = 100%
Equipes com utilização parcial = n° horas trabalhadas por semana /44 horas</t>
        </r>
      </text>
    </comment>
    <comment ref="B58" authorId="0" shapeId="0">
      <text>
        <r>
          <rPr>
            <sz val="10"/>
            <color rgb="FF000000"/>
            <rFont val="Arial"/>
            <charset val="1"/>
          </rPr>
          <t>======
ID#AAABj5x5Lu8
    (2025-05-20 16:59:23)
Informar o fator de utilização das equipes de coleta. 
Por exemplo:
Equipes com utilização integral = 100%
Equipes com utilização parcial = n° horas trabalhadas por semana /44 horas</t>
        </r>
      </text>
    </comment>
    <comment ref="C67" authorId="0" shapeId="0">
      <text>
        <r>
          <rPr>
            <sz val="10"/>
            <color rgb="FF000000"/>
            <rFont val="Arial"/>
            <charset val="1"/>
          </rPr>
          <t>======
ID#AAABj5x5LwM
    (2025-05-20 16:59:23)
Preencher a planilha Encargos Sociais e CAGED</t>
        </r>
      </text>
    </comment>
    <comment ref="C69" authorId="0" shapeId="0">
      <text>
        <r>
          <rPr>
            <sz val="10"/>
            <color rgb="FF000000"/>
            <rFont val="Arial"/>
            <charset val="1"/>
          </rPr>
          <t>======
ID#AAABj5x5LPk
    (2025-05-20 16:59:22)
Informar a quantidade de trabalhadores na função</t>
        </r>
      </text>
    </comment>
    <comment ref="C77" authorId="0" shapeId="0">
      <text>
        <r>
          <rPr>
            <sz val="10"/>
            <color rgb="FF000000"/>
            <rFont val="Arial"/>
            <charset val="1"/>
          </rPr>
          <t>======
ID#AAABj5x5Lkc
    (2025-05-20 16:59:23)
Preencher a planilha Encargos Sociais e CAGED</t>
        </r>
      </text>
    </comment>
    <comment ref="C79" authorId="0" shapeId="0">
      <text>
        <r>
          <rPr>
            <sz val="10"/>
            <color rgb="FF000000"/>
            <rFont val="Arial"/>
            <charset val="1"/>
          </rPr>
          <t>======
ID#AAABj5x5LWw
    (2025-05-20 16:59:22)
Informar a quantidade de trabalhadores na função</t>
        </r>
      </text>
    </comment>
    <comment ref="C87" authorId="0" shapeId="0">
      <text>
        <r>
          <rPr>
            <sz val="10"/>
            <color rgb="FF000000"/>
            <rFont val="Arial"/>
            <charset val="1"/>
          </rPr>
          <t>======
ID#AAABj5x5LrA
    (2025-05-20 16:59:23)
Preencher a planilha Encargos Sociais e CAGED</t>
        </r>
      </text>
    </comment>
    <comment ref="C89" authorId="0" shapeId="0">
      <text>
        <r>
          <rPr>
            <sz val="10"/>
            <color rgb="FF000000"/>
            <rFont val="Arial"/>
            <charset val="1"/>
          </rPr>
          <t>======
ID#AAABj5x5LSM
    (2025-05-20 16:59:22)
Informar a quantidade de trabalhadores na função</t>
        </r>
      </text>
    </comment>
    <comment ref="C97" authorId="0" shapeId="0">
      <text>
        <r>
          <rPr>
            <sz val="10"/>
            <color rgb="FF000000"/>
            <rFont val="Arial"/>
            <charset val="1"/>
          </rPr>
          <t>======
ID#AAABj5x5LNg
    (2025-05-20 16:59:22)
Preencher a planilha Encargos Sociais e CAGED</t>
        </r>
      </text>
    </comment>
    <comment ref="C99" authorId="0" shapeId="0">
      <text>
        <r>
          <rPr>
            <sz val="10"/>
            <color rgb="FF000000"/>
            <rFont val="Arial"/>
            <charset val="1"/>
          </rPr>
          <t>======
ID#AAABj5x5K9U
    (2025-05-20 16:59:22)
Informar a quantidade de trabalhadores na função</t>
        </r>
      </text>
    </comment>
    <comment ref="C105" authorId="0" shapeId="0">
      <text>
        <r>
          <rPr>
            <sz val="10"/>
            <color rgb="FF000000"/>
            <rFont val="Arial"/>
            <charset val="1"/>
          </rPr>
          <t>======
ID#AAABj5x5LyE
    (2025-05-20 16:59:23)
Informar o número médio de dias trabalhados por mês</t>
        </r>
      </text>
    </comment>
    <comment ref="D106" authorId="0" shapeId="0">
      <text>
        <r>
          <rPr>
            <sz val="10"/>
            <color rgb="FF000000"/>
            <rFont val="Arial"/>
            <charset val="1"/>
          </rPr>
          <t>======
ID#AAABj5x5LyY
    (2025-05-20 16:59:23)
Valor Unitário considerando o desconto legal de até 6% do salário</t>
        </r>
      </text>
    </comment>
    <comment ref="D107" authorId="0" shapeId="0">
      <text>
        <r>
          <rPr>
            <sz val="10"/>
            <color rgb="FF000000"/>
            <rFont val="Arial"/>
            <charset val="1"/>
          </rPr>
          <t>======
ID#AAABj5x5LJM
    (2025-05-20 16:59:22)
Valor Unitário considerando o desconto legal de até 6% do salário</t>
        </r>
      </text>
    </comment>
    <comment ref="D108" authorId="0" shapeId="0">
      <text>
        <r>
          <rPr>
            <sz val="10"/>
            <color rgb="FF000000"/>
            <rFont val="Arial"/>
            <charset val="1"/>
          </rPr>
          <t>======
ID#AAABj5x5LKM
    (2025-05-20 16:59:22)
Valor Unitário considerando o desconto legal de até 6% do salário</t>
        </r>
      </text>
    </comment>
    <comment ref="C114" authorId="0" shapeId="0">
      <text>
        <r>
          <rPr>
            <sz val="10"/>
            <color rgb="FF000000"/>
            <rFont val="Arial"/>
            <charset val="1"/>
          </rPr>
          <t>======
ID#AAABj5x5La8
    (2025-05-20 16:59:22)
Informar o número médio de dias trabalhados por mês</t>
        </r>
      </text>
    </comment>
    <comment ref="D115" authorId="0" shapeId="0">
      <text>
        <r>
          <rPr>
            <sz val="10"/>
            <color rgb="FF000000"/>
            <rFont val="Arial"/>
            <charset val="1"/>
          </rPr>
          <t>======
ID#AAABj5x5LVk
    (2025-05-20 16:59:22)
Valor Unitário considerando o desconto legal de até 6% do salário</t>
        </r>
      </text>
    </comment>
    <comment ref="D127" authorId="0" shapeId="0">
      <text>
        <r>
          <rPr>
            <sz val="10"/>
            <color rgb="FF000000"/>
            <rFont val="Arial"/>
            <charset val="1"/>
          </rPr>
          <t>======
ID#AAABj5x5LoE
    (2025-05-20 16:59:23)
Informar o valor mensal do auxilio alimentação, considerando o desconto aplicável ao funcionário, conforme Convenção Coletiva da categoria</t>
        </r>
      </text>
    </comment>
    <comment ref="D128" authorId="0" shapeId="0">
      <text>
        <r>
          <rPr>
            <sz val="10"/>
            <color rgb="FF000000"/>
            <rFont val="Arial"/>
            <charset val="1"/>
          </rPr>
          <t>======
ID#AAABj5x5LlQ
    (2025-05-20 16:59:23)
Informar o valor mensal do auxilio alimentação, considerando o desconto aplicável ao funcionário, conforme Convenção Coletiva da categoria</t>
        </r>
      </text>
    </comment>
    <comment ref="D129" authorId="0" shapeId="0">
      <text>
        <r>
          <rPr>
            <sz val="10"/>
            <color rgb="FF000000"/>
            <rFont val="Arial"/>
            <charset val="1"/>
          </rPr>
          <t>======
ID#AAABj5x5LIw
    (2025-05-20 16:59:22)
Informar o valor mensal do auxilio alimentação, considerando o desconto aplicável ao funcionário, conforme Convenção Coletiva da categoria</t>
        </r>
      </text>
    </comment>
    <comment ref="C139" authorId="0" shapeId="0">
      <text>
        <r>
          <rPr>
            <sz val="10"/>
            <color rgb="FF000000"/>
            <rFont val="Arial"/>
            <charset val="1"/>
          </rPr>
          <t>======
ID#AAABj5x5K6w
    (2025-05-20 16:59:22)
Informar a durabilidade estimada em meses, para cada EPI</t>
        </r>
      </text>
    </comment>
    <comment ref="D139" authorId="0" shapeId="0">
      <text>
        <r>
          <rPr>
            <sz val="10"/>
            <color rgb="FF000000"/>
            <rFont val="Arial"/>
            <charset val="1"/>
          </rPr>
          <t>======
ID#AAABj5x5LMA
    (2025-05-20 16:59:22)
Informar o valor unitário estimado para aquisição de cada EPI</t>
        </r>
      </text>
    </comment>
    <comment ref="C140" authorId="0" shapeId="0">
      <text>
        <r>
          <rPr>
            <sz val="10"/>
            <color rgb="FF000000"/>
            <rFont val="Arial"/>
            <charset val="1"/>
          </rPr>
          <t>======
ID#AAABj5x5Lbs
    (2025-05-20 16:59:22)
Informar a durabilidade estimada em meses, para cada EPI</t>
        </r>
      </text>
    </comment>
    <comment ref="D140" authorId="0" shapeId="0">
      <text>
        <r>
          <rPr>
            <sz val="10"/>
            <color rgb="FF000000"/>
            <rFont val="Arial"/>
            <charset val="1"/>
          </rPr>
          <t>======
ID#AAABj5x5LS8
    (2025-05-20 16:59:22)
Informar o valor unitário estimado para aquisição de cada EPI</t>
        </r>
      </text>
    </comment>
    <comment ref="C141" authorId="0" shapeId="0">
      <text>
        <r>
          <rPr>
            <sz val="10"/>
            <color rgb="FF000000"/>
            <rFont val="Arial"/>
            <charset val="1"/>
          </rPr>
          <t>======
ID#AAABj5x5LVo
    (2025-05-20 16:59:22)
Informar a durabilidade estimada em meses, para cada EPI</t>
        </r>
      </text>
    </comment>
    <comment ref="D141" authorId="0" shapeId="0">
      <text>
        <r>
          <rPr>
            <sz val="10"/>
            <color rgb="FF000000"/>
            <rFont val="Arial"/>
            <charset val="1"/>
          </rPr>
          <t>======
ID#AAABj5x5K8Y
    (2025-05-20 16:59:22)
Informar o valor unitário estimado para aquisição de cada EPI</t>
        </r>
      </text>
    </comment>
    <comment ref="C142" authorId="0" shapeId="0">
      <text>
        <r>
          <rPr>
            <sz val="10"/>
            <color rgb="FF000000"/>
            <rFont val="Arial"/>
            <charset val="1"/>
          </rPr>
          <t>======
ID#AAABj5x5K-I
    (2025-05-20 16:59:22)
Informar a durabilidade estimada em meses, para cada EPI</t>
        </r>
      </text>
    </comment>
    <comment ref="D142" authorId="0" shapeId="0">
      <text>
        <r>
          <rPr>
            <sz val="10"/>
            <color rgb="FF000000"/>
            <rFont val="Arial"/>
            <charset val="1"/>
          </rPr>
          <t>======
ID#AAABj5x5Lzo
    (2025-05-20 16:59:23)
Informar o valor unitário estimado para aquisição de cada EPI</t>
        </r>
      </text>
    </comment>
    <comment ref="C143" authorId="0" shapeId="0">
      <text>
        <r>
          <rPr>
            <sz val="10"/>
            <color rgb="FF000000"/>
            <rFont val="Arial"/>
            <charset val="1"/>
          </rPr>
          <t>======
ID#AAABj5x5LSo
    (2025-05-20 16:59:22)
Informar a durabilidade estimada em meses, para cada EPI</t>
        </r>
      </text>
    </comment>
    <comment ref="D143" authorId="0" shapeId="0">
      <text>
        <r>
          <rPr>
            <sz val="10"/>
            <color rgb="FF000000"/>
            <rFont val="Arial"/>
            <charset val="1"/>
          </rPr>
          <t>======
ID#AAABj5x5LRk
    (2025-05-20 16:59:22)
Informar o valor unitário estimado para aquisição de cada EPI</t>
        </r>
      </text>
    </comment>
    <comment ref="C144" authorId="0" shapeId="0">
      <text>
        <r>
          <rPr>
            <sz val="10"/>
            <color rgb="FF000000"/>
            <rFont val="Arial"/>
            <charset val="1"/>
          </rPr>
          <t>======
ID#AAABj5x5LdA
    (2025-05-20 16:59:22)
Informar a durabilidade estimada em meses, para cada EPI</t>
        </r>
      </text>
    </comment>
    <comment ref="D144" authorId="0" shapeId="0">
      <text>
        <r>
          <rPr>
            <sz val="10"/>
            <color rgb="FF000000"/>
            <rFont val="Arial"/>
            <charset val="1"/>
          </rPr>
          <t>======
ID#AAABj5x5LOY
    (2025-05-20 16:59:22)
Informar o valor unitário estimado para aquisição de cada EPI</t>
        </r>
      </text>
    </comment>
    <comment ref="C145" authorId="0" shapeId="0">
      <text>
        <r>
          <rPr>
            <sz val="10"/>
            <color rgb="FF000000"/>
            <rFont val="Arial"/>
            <charset val="1"/>
          </rPr>
          <t>======
ID#AAABj5x5K6U
    (2025-05-20 16:59:22)
Informar a durabilidade estimada em meses, para cada EPI</t>
        </r>
      </text>
    </comment>
    <comment ref="D145" authorId="0" shapeId="0">
      <text>
        <r>
          <rPr>
            <sz val="10"/>
            <color rgb="FF000000"/>
            <rFont val="Arial"/>
            <charset val="1"/>
          </rPr>
          <t>======
ID#AAABj5x5LaQ
    (2025-05-20 16:59:22)
Informar o valor unitário estimado para aquisição de cada EPI</t>
        </r>
      </text>
    </comment>
    <comment ref="C146" authorId="0" shapeId="0">
      <text>
        <r>
          <rPr>
            <sz val="10"/>
            <color rgb="FF000000"/>
            <rFont val="Arial"/>
            <charset val="1"/>
          </rPr>
          <t>======
ID#AAABj5x5LiM
    (2025-05-20 16:59:23)
Informar a durabilidade estimada em meses, para cada EPI</t>
        </r>
      </text>
    </comment>
    <comment ref="D146" authorId="0" shapeId="0">
      <text>
        <r>
          <rPr>
            <sz val="10"/>
            <color rgb="FF000000"/>
            <rFont val="Arial"/>
            <charset val="1"/>
          </rPr>
          <t>======
ID#AAABj5x5LeU
    (2025-05-20 16:59:22)
Informar o valor unitário estimado para aquisição de cada EPI</t>
        </r>
      </text>
    </comment>
    <comment ref="C147" authorId="0" shapeId="0">
      <text>
        <r>
          <rPr>
            <sz val="10"/>
            <color rgb="FF000000"/>
            <rFont val="Arial"/>
            <charset val="1"/>
          </rPr>
          <t>======
ID#AAABj5x5LWI
    (2025-05-20 16:59:22)
Informar a durabilidade estimada em meses, para cada EPI</t>
        </r>
      </text>
    </comment>
    <comment ref="D147" authorId="0" shapeId="0">
      <text>
        <r>
          <rPr>
            <sz val="10"/>
            <color rgb="FF000000"/>
            <rFont val="Arial"/>
            <charset val="1"/>
          </rPr>
          <t>======
ID#AAABj5x5Lp4
    (2025-05-20 16:59:23)
Informar o valor unitário estimado para aquisição de cada EPI</t>
        </r>
      </text>
    </comment>
    <comment ref="C154" authorId="0" shapeId="0">
      <text>
        <r>
          <rPr>
            <sz val="10"/>
            <color rgb="FF000000"/>
            <rFont val="Arial"/>
            <charset val="1"/>
          </rPr>
          <t>======
ID#AAABj5x5LNM
    (2025-05-20 16:59:22)
Informar a durabilidade estimada em meses, para cada EPI</t>
        </r>
      </text>
    </comment>
    <comment ref="D154" authorId="0" shapeId="0">
      <text>
        <r>
          <rPr>
            <sz val="10"/>
            <color rgb="FF000000"/>
            <rFont val="Arial"/>
            <charset val="1"/>
          </rPr>
          <t>======
ID#AAABj5x5LNw
    (2025-05-20 16:59:22)
Informar o valor unitário estimado para aquisição de cada EPI</t>
        </r>
      </text>
    </comment>
    <comment ref="C155" authorId="0" shapeId="0">
      <text>
        <r>
          <rPr>
            <sz val="10"/>
            <color rgb="FF000000"/>
            <rFont val="Arial"/>
            <charset val="1"/>
          </rPr>
          <t>======
ID#AAABj5x5LP4
    (2025-05-20 16:59:22)
Informar a durabilidade estimada em meses, para cada EPI</t>
        </r>
      </text>
    </comment>
    <comment ref="D155" authorId="0" shapeId="0">
      <text>
        <r>
          <rPr>
            <sz val="10"/>
            <color rgb="FF000000"/>
            <rFont val="Arial"/>
            <charset val="1"/>
          </rPr>
          <t>======
ID#AAABj5x5LoA
    (2025-05-20 16:59:23)
Informar o valor unitário estimado para aquisição de cada EPI</t>
        </r>
      </text>
    </comment>
    <comment ref="C156" authorId="0" shapeId="0">
      <text>
        <r>
          <rPr>
            <sz val="10"/>
            <color rgb="FF000000"/>
            <rFont val="Arial"/>
            <charset val="1"/>
          </rPr>
          <t>======
ID#AAABj5x5LJk
    (2025-05-20 16:59:22)
Informar a durabilidade estimada em meses, para cada EPI</t>
        </r>
      </text>
    </comment>
    <comment ref="D156" authorId="0" shapeId="0">
      <text>
        <r>
          <rPr>
            <sz val="10"/>
            <color rgb="FF000000"/>
            <rFont val="Arial"/>
            <charset val="1"/>
          </rPr>
          <t>======
ID#AAABj5x5LwE
    (2025-05-20 16:59:23)
Informar o valor unitário estimado para aquisição de cada EPI</t>
        </r>
      </text>
    </comment>
    <comment ref="C157" authorId="0" shapeId="0">
      <text>
        <r>
          <rPr>
            <sz val="10"/>
            <color rgb="FF000000"/>
            <rFont val="Arial"/>
            <charset val="1"/>
          </rPr>
          <t>======
ID#AAABj5x5K8g
    (2025-05-20 16:59:22)
Informar a durabilidade estimada em meses, para cada EPI</t>
        </r>
      </text>
    </comment>
    <comment ref="D157" authorId="0" shapeId="0">
      <text>
        <r>
          <rPr>
            <sz val="10"/>
            <color rgb="FF000000"/>
            <rFont val="Arial"/>
            <charset val="1"/>
          </rPr>
          <t>======
ID#AAABj5x5Lp8
    (2025-05-20 16:59:23)
Informar o valor unitário estimado para aquisição de cada EPI</t>
        </r>
      </text>
    </comment>
    <comment ref="C158" authorId="0" shapeId="0">
      <text>
        <r>
          <rPr>
            <sz val="10"/>
            <color rgb="FF000000"/>
            <rFont val="Arial"/>
            <charset val="1"/>
          </rPr>
          <t>======
ID#AAABj5x5LTw
    (2025-05-20 16:59:22)
Informar a durabilidade estimada em meses, para cada EPI</t>
        </r>
      </text>
    </comment>
    <comment ref="D158" authorId="0" shapeId="0">
      <text>
        <r>
          <rPr>
            <sz val="10"/>
            <color rgb="FF000000"/>
            <rFont val="Arial"/>
            <charset val="1"/>
          </rPr>
          <t>======
ID#AAABj5x5LIU
    (2025-05-20 16:59:22)
Informar o valor unitário estimado para aquisição de cada EPI</t>
        </r>
      </text>
    </comment>
    <comment ref="C159" authorId="0" shapeId="0">
      <text>
        <r>
          <rPr>
            <sz val="10"/>
            <color rgb="FF000000"/>
            <rFont val="Arial"/>
            <charset val="1"/>
          </rPr>
          <t>======
ID#AAABj5x5LIk
    (2025-05-20 16:59:22)
Informar a durabilidade estimada em meses, para cada EPI</t>
        </r>
      </text>
    </comment>
    <comment ref="D159" authorId="0" shapeId="0">
      <text>
        <r>
          <rPr>
            <sz val="10"/>
            <color rgb="FF000000"/>
            <rFont val="Arial"/>
            <charset val="1"/>
          </rPr>
          <t>======
ID#AAABj5x5LpM
    (2025-05-20 16:59:23)
Informar o valor unitário estimado para aquisição de cada EPI</t>
        </r>
      </text>
    </comment>
    <comment ref="C160" authorId="0" shapeId="0">
      <text>
        <r>
          <rPr>
            <sz val="10"/>
            <color rgb="FF000000"/>
            <rFont val="Arial"/>
            <charset val="1"/>
          </rPr>
          <t>======
ID#AAABj5x5Lbg
    (2025-05-20 16:59:22)
Informar a durabilidade estimada em meses, para cada EPI</t>
        </r>
      </text>
    </comment>
    <comment ref="D160" authorId="0" shapeId="0">
      <text>
        <r>
          <rPr>
            <sz val="10"/>
            <color rgb="FF000000"/>
            <rFont val="Arial"/>
            <charset val="1"/>
          </rPr>
          <t>======
ID#AAABj5x5K8c
    (2025-05-20 16:59:22)
Informar o valor unitário estimado para aquisição de cada EPI</t>
        </r>
      </text>
    </comment>
    <comment ref="C161" authorId="0" shapeId="0">
      <text>
        <r>
          <rPr>
            <sz val="10"/>
            <color rgb="FF000000"/>
            <rFont val="Arial"/>
            <charset val="1"/>
          </rPr>
          <t>======
ID#AAABj5x5LsM
    (2025-05-20 16:59:23)
Informar a durabilidade estimada em meses, para cada EPI</t>
        </r>
      </text>
    </comment>
    <comment ref="D161" authorId="0" shapeId="0">
      <text>
        <r>
          <rPr>
            <sz val="10"/>
            <color rgb="FF000000"/>
            <rFont val="Arial"/>
            <charset val="1"/>
          </rPr>
          <t>======
ID#AAABj5x5LmQ
    (2025-05-20 16:59:23)
Informar o valor unitário estimado para aquisição de cada EPI</t>
        </r>
      </text>
    </comment>
    <comment ref="C162" authorId="0" shapeId="0">
      <text>
        <r>
          <rPr>
            <sz val="10"/>
            <color rgb="FF000000"/>
            <rFont val="Arial"/>
            <charset val="1"/>
          </rPr>
          <t>======
ID#AAABj5x5LIM
    (2025-05-20 16:59:22)
Informar a durabilidade estimada em meses, para cada EPI</t>
        </r>
      </text>
    </comment>
    <comment ref="D162" authorId="0" shapeId="0">
      <text>
        <r>
          <rPr>
            <sz val="10"/>
            <color rgb="FF000000"/>
            <rFont val="Arial"/>
            <charset val="1"/>
          </rPr>
          <t>======
ID#AAABj5x5LeQ
    (2025-05-20 16:59:22)
Informar o valor unitário estimado para aquisição de cada EPI</t>
        </r>
      </text>
    </comment>
    <comment ref="C169" authorId="0" shapeId="0">
      <text>
        <r>
          <rPr>
            <sz val="10"/>
            <color rgb="FF000000"/>
            <rFont val="Arial"/>
            <charset val="1"/>
          </rPr>
          <t>======
ID#AAABj5x5LK8
    (2025-05-20 16:59:22)
Informar a durabilidade estimada em meses, para cada EPI</t>
        </r>
      </text>
    </comment>
    <comment ref="D169" authorId="0" shapeId="0">
      <text>
        <r>
          <rPr>
            <sz val="10"/>
            <color rgb="FF000000"/>
            <rFont val="Arial"/>
            <charset val="1"/>
          </rPr>
          <t>======
ID#AAABj5x5Lvw
    (2025-05-20 16:59:23)
Informar o valor unitário estimado para aquisição de cada EPI</t>
        </r>
      </text>
    </comment>
    <comment ref="C170" authorId="0" shapeId="0">
      <text>
        <r>
          <rPr>
            <sz val="10"/>
            <color rgb="FF000000"/>
            <rFont val="Arial"/>
            <charset val="1"/>
          </rPr>
          <t>======
ID#AAABj5x5LKw
    (2025-05-20 16:59:22)
Informar a durabilidade estimada em meses, para cada EPI</t>
        </r>
      </text>
    </comment>
    <comment ref="D170" authorId="0" shapeId="0">
      <text>
        <r>
          <rPr>
            <sz val="10"/>
            <color rgb="FF000000"/>
            <rFont val="Arial"/>
            <charset val="1"/>
          </rPr>
          <t>======
ID#AAABj5x5Loo
    (2025-05-20 16:59:23)
Informar o valor unitário estimado para aquisição de cada EPI</t>
        </r>
      </text>
    </comment>
    <comment ref="C171" authorId="0" shapeId="0">
      <text>
        <r>
          <rPr>
            <sz val="10"/>
            <color rgb="FF000000"/>
            <rFont val="Arial"/>
            <charset val="1"/>
          </rPr>
          <t>======
ID#AAABj5x5LVs
    (2025-05-20 16:59:22)
Informar a durabilidade estimada em meses, para cada EPI</t>
        </r>
      </text>
    </comment>
    <comment ref="D171" authorId="0" shapeId="0">
      <text>
        <r>
          <rPr>
            <sz val="10"/>
            <color rgb="FF000000"/>
            <rFont val="Arial"/>
            <charset val="1"/>
          </rPr>
          <t>======
ID#AAABj5x5LQA
    (2025-05-20 16:59:22)
Informar o valor unitário estimado para aquisição de cada EPI</t>
        </r>
      </text>
    </comment>
    <comment ref="C172" authorId="0" shapeId="0">
      <text>
        <r>
          <rPr>
            <sz val="10"/>
            <color rgb="FF000000"/>
            <rFont val="Arial"/>
            <charset val="1"/>
          </rPr>
          <t>======
ID#AAABj5x5K8Q
    (2025-05-20 16:59:22)
Informar a durabilidade estimada em meses, para cada EPI</t>
        </r>
      </text>
    </comment>
    <comment ref="D172" authorId="0" shapeId="0">
      <text>
        <r>
          <rPr>
            <sz val="10"/>
            <color rgb="FF000000"/>
            <rFont val="Arial"/>
            <charset val="1"/>
          </rPr>
          <t>======
ID#AAABj5x5K9Y
    (2025-05-20 16:59:22)
Informar o valor unitário estimado para aquisição de cada EPI</t>
        </r>
      </text>
    </comment>
    <comment ref="C173" authorId="0" shapeId="0">
      <text>
        <r>
          <rPr>
            <sz val="10"/>
            <color rgb="FF000000"/>
            <rFont val="Arial"/>
            <charset val="1"/>
          </rPr>
          <t>======
ID#AAABj5x5K64
    (2025-05-20 16:59:22)
Informar a durabilidade estimada em meses, para cada EPI</t>
        </r>
      </text>
    </comment>
    <comment ref="D173" authorId="0" shapeId="0">
      <text>
        <r>
          <rPr>
            <sz val="10"/>
            <color rgb="FF000000"/>
            <rFont val="Arial"/>
            <charset val="1"/>
          </rPr>
          <t>======
ID#AAABj5x5Lds
    (2025-05-20 16:59:22)
Informar o valor unitário estimado para aquisição de cada EPI</t>
        </r>
      </text>
    </comment>
    <comment ref="C174" authorId="0" shapeId="0">
      <text>
        <r>
          <rPr>
            <sz val="10"/>
            <color rgb="FF000000"/>
            <rFont val="Arial"/>
            <charset val="1"/>
          </rPr>
          <t>======
ID#AAABj5x5LLY
    (2025-05-20 16:59:22)
Informar a durabilidade estimada em meses, para cada EPI</t>
        </r>
      </text>
    </comment>
    <comment ref="D174" authorId="0" shapeId="0">
      <text>
        <r>
          <rPr>
            <sz val="10"/>
            <color rgb="FF000000"/>
            <rFont val="Arial"/>
            <charset val="1"/>
          </rPr>
          <t>======
ID#AAABj5x5LJo
    (2025-05-20 16:59:22)
Informar o valor unitário estimado para aquisição de cada EPI</t>
        </r>
      </text>
    </comment>
    <comment ref="C175" authorId="0" shapeId="0">
      <text>
        <r>
          <rPr>
            <sz val="10"/>
            <color rgb="FF000000"/>
            <rFont val="Arial"/>
            <charset val="1"/>
          </rPr>
          <t>======
ID#AAABj5x5K8s
    (2025-05-20 16:59:22)
Informar a durabilidade estimada em meses, para cada EPI</t>
        </r>
      </text>
    </comment>
    <comment ref="D175" authorId="0" shapeId="0">
      <text>
        <r>
          <rPr>
            <sz val="10"/>
            <color rgb="FF000000"/>
            <rFont val="Arial"/>
            <charset val="1"/>
          </rPr>
          <t>======
ID#AAABj5x5LOM
    (2025-05-20 16:59:22)
Informar o valor unitário estimado para aquisição de cada EPI</t>
        </r>
      </text>
    </comment>
    <comment ref="C176" authorId="0" shapeId="0">
      <text>
        <r>
          <rPr>
            <sz val="10"/>
            <color rgb="FF000000"/>
            <rFont val="Arial"/>
            <charset val="1"/>
          </rPr>
          <t>======
ID#AAABj5x5Lx0
    (2025-05-20 16:59:23)
Informar a durabilidade estimada em meses, para cada EPI</t>
        </r>
      </text>
    </comment>
    <comment ref="D176" authorId="0" shapeId="0">
      <text>
        <r>
          <rPr>
            <sz val="10"/>
            <color rgb="FF000000"/>
            <rFont val="Arial"/>
            <charset val="1"/>
          </rPr>
          <t>======
ID#AAABj5x5LXY
    (2025-05-20 16:59:22)
Informar o valor unitário estimado para aquisição de cada EPI</t>
        </r>
      </text>
    </comment>
    <comment ref="C177" authorId="0" shapeId="0">
      <text>
        <r>
          <rPr>
            <sz val="10"/>
            <color rgb="FF000000"/>
            <rFont val="Arial"/>
            <charset val="1"/>
          </rPr>
          <t>======
ID#AAABj5x5LZw
    (2025-05-20 16:59:22)
Informar a durabilidade estimada em meses, para cada EPI</t>
        </r>
      </text>
    </comment>
    <comment ref="D177" authorId="0" shapeId="0">
      <text>
        <r>
          <rPr>
            <sz val="10"/>
            <color rgb="FF000000"/>
            <rFont val="Arial"/>
            <charset val="1"/>
          </rPr>
          <t>======
ID#AAABj5x5Lc4
    (2025-05-20 16:59:22)
Informar o valor unitário estimado para aquisição de cada EPI</t>
        </r>
      </text>
    </comment>
    <comment ref="C184" authorId="0" shapeId="0">
      <text>
        <r>
          <rPr>
            <sz val="10"/>
            <color rgb="FF000000"/>
            <rFont val="Arial"/>
            <charset val="1"/>
          </rPr>
          <t>======
ID#AAABj5x5K54
    (2025-05-20 16:59:22)
Informar a durabilidade estimada em meses, para cada EPI</t>
        </r>
      </text>
    </comment>
    <comment ref="D184" authorId="0" shapeId="0">
      <text>
        <r>
          <rPr>
            <sz val="10"/>
            <color rgb="FF000000"/>
            <rFont val="Arial"/>
            <charset val="1"/>
          </rPr>
          <t>======
ID#AAABj5x5LeY
    (2025-05-20 16:59:22)
Informar o valor unitário estimado para aquisição de cada EPI</t>
        </r>
      </text>
    </comment>
    <comment ref="C185" authorId="0" shapeId="0">
      <text>
        <r>
          <rPr>
            <sz val="10"/>
            <color rgb="FF000000"/>
            <rFont val="Arial"/>
            <charset val="1"/>
          </rPr>
          <t>======
ID#AAABj5x5LvM
    (2025-05-20 16:59:23)
Informar a durabilidade estimada em meses, para cada EPI</t>
        </r>
      </text>
    </comment>
    <comment ref="D185" authorId="0" shapeId="0">
      <text>
        <r>
          <rPr>
            <sz val="10"/>
            <color rgb="FF000000"/>
            <rFont val="Arial"/>
            <charset val="1"/>
          </rPr>
          <t>======
ID#AAABj5x5Lig
    (2025-05-20 16:59:23)
Informar o valor unitário estimado para aquisição de cada EPI</t>
        </r>
      </text>
    </comment>
    <comment ref="C186" authorId="0" shapeId="0">
      <text>
        <r>
          <rPr>
            <sz val="10"/>
            <color rgb="FF000000"/>
            <rFont val="Arial"/>
            <charset val="1"/>
          </rPr>
          <t>======
ID#AAABj5x5LeE
    (2025-05-20 16:59:22)
Informar a durabilidade estimada em meses, para cada EPI</t>
        </r>
      </text>
    </comment>
    <comment ref="D186" authorId="0" shapeId="0">
      <text>
        <r>
          <rPr>
            <sz val="10"/>
            <color rgb="FF000000"/>
            <rFont val="Arial"/>
            <charset val="1"/>
          </rPr>
          <t>======
ID#AAABj5x5Lso
    (2025-05-20 16:59:23)
Informar o valor unitário estimado para aquisição de cada EPI</t>
        </r>
      </text>
    </comment>
    <comment ref="C187" authorId="0" shapeId="0">
      <text>
        <r>
          <rPr>
            <sz val="10"/>
            <color rgb="FF000000"/>
            <rFont val="Arial"/>
            <charset val="1"/>
          </rPr>
          <t>======
ID#AAABj5x5LXo
    (2025-05-20 16:59:22)
Informar a durabilidade estimada em meses, para cada EPI</t>
        </r>
      </text>
    </comment>
    <comment ref="D187" authorId="0" shapeId="0">
      <text>
        <r>
          <rPr>
            <sz val="10"/>
            <color rgb="FF000000"/>
            <rFont val="Arial"/>
            <charset val="1"/>
          </rPr>
          <t>======
ID#AAABj5x5LiQ
    (2025-05-20 16:59:23)
Informar o valor unitário estimado para aquisição de cada EPI</t>
        </r>
      </text>
    </comment>
    <comment ref="C188" authorId="0" shapeId="0">
      <text>
        <r>
          <rPr>
            <sz val="10"/>
            <color rgb="FF000000"/>
            <rFont val="Arial"/>
            <charset val="1"/>
          </rPr>
          <t>======
ID#AAABj5x5Li4
    (2025-05-20 16:59:23)
Informar a durabilidade estimada em meses, para cada EPI</t>
        </r>
      </text>
    </comment>
    <comment ref="D188" authorId="0" shapeId="0">
      <text>
        <r>
          <rPr>
            <sz val="10"/>
            <color rgb="FF000000"/>
            <rFont val="Arial"/>
            <charset val="1"/>
          </rPr>
          <t>======
ID#AAABj5x5LUo
    (2025-05-20 16:59:22)
Informar o valor unitário estimado para aquisição de cada EPI</t>
        </r>
      </text>
    </comment>
    <comment ref="D200" authorId="0" shapeId="0">
      <text>
        <r>
          <rPr>
            <sz val="10"/>
            <color rgb="FF000000"/>
            <rFont val="Arial"/>
            <charset val="1"/>
          </rPr>
          <t>======
ID#AAABj5x5LUk
    (2025-05-20 16:59:22)
Informar o preço unitário do chassis do caminhão de coleta</t>
        </r>
      </text>
    </comment>
    <comment ref="C201" authorId="0" shapeId="0">
      <text>
        <r>
          <rPr>
            <sz val="10"/>
            <color rgb="FF000000"/>
            <rFont val="Arial"/>
            <charset val="1"/>
          </rPr>
          <t>======
ID#AAABj5x5LXE
    (2025-05-20 16:59:22)
Informar a vida útil estimada para o caminhão, em anos</t>
        </r>
      </text>
    </comment>
    <comment ref="C202" authorId="0" shapeId="0">
      <text>
        <r>
          <rPr>
            <sz val="10"/>
            <color rgb="FF000000"/>
            <rFont val="Arial"/>
            <charset val="1"/>
          </rPr>
          <t>======
ID#AAABj5x5Lw4
    (2025-05-20 16:59:23)
Na elaboração do orçamento-base da licitação, informar 0 (zero). Na proposta da licitante, informar a idade do veículo proposto.</t>
        </r>
      </text>
    </comment>
    <comment ref="C203" authorId="0" shapeId="0">
      <text>
        <r>
          <rPr>
            <sz val="10"/>
            <color rgb="FF000000"/>
            <rFont val="Arial"/>
            <charset val="1"/>
          </rPr>
          <t>======
ID#AAABj5x5LNk
    (2025-05-20 16:59:22)
Informar o valor da depreciação do caminhão, adotando o valor sugerido pelo TCE ou outro valor estimado</t>
        </r>
      </text>
    </comment>
    <comment ref="C206" authorId="0" shapeId="0">
      <text>
        <r>
          <rPr>
            <sz val="10"/>
            <color rgb="FF000000"/>
            <rFont val="Arial"/>
            <charset val="1"/>
          </rPr>
          <t>======
ID#AAABj5x5Ln0
    (2025-05-20 16:59:23)
Informar a quantidade de caminhões compactadores do respectivo modelo</t>
        </r>
      </text>
    </comment>
    <comment ref="C212" authorId="0" shapeId="0">
      <text>
        <r>
          <rPr>
            <sz val="10"/>
            <color rgb="FF000000"/>
            <rFont val="Arial"/>
            <charset val="1"/>
          </rPr>
          <t>======
ID#AAABj5x5LNo
    (2025-05-20 16:59:22)
Informar a taxa de juros anual para remuneração do capital. Recomenda-se o uso da Taxa SELIC</t>
        </r>
      </text>
    </comment>
    <comment ref="B230" authorId="0" shapeId="0">
      <text>
        <r>
          <rPr>
            <sz val="10"/>
            <color rgb="FF000000"/>
            <rFont val="Arial"/>
            <charset val="1"/>
          </rPr>
          <t>======
ID#AAABj5x5LiU
    (2025-05-20 16:59:23)
Informar a quilometragem mensal percorrida, de acordo com o projeto básico</t>
        </r>
      </text>
    </comment>
    <comment ref="C234" authorId="0" shapeId="0">
      <text>
        <r>
          <rPr>
            <sz val="10"/>
            <color rgb="FF000000"/>
            <rFont val="Arial"/>
            <charset val="1"/>
          </rPr>
          <t>======
ID#AAABj5x5LX4
    (2025-05-20 16:59:22)
Informar o consumo estimado do veículo em km/l</t>
        </r>
      </text>
    </comment>
    <comment ref="D234" authorId="0" shapeId="0">
      <text>
        <r>
          <rPr>
            <sz val="10"/>
            <color rgb="FF000000"/>
            <rFont val="Arial"/>
            <charset val="1"/>
          </rPr>
          <t>======
ID#AAABj5x5LXI
    (2025-05-20 16:59:22)
Informar o preço unitário do combustivel</t>
        </r>
      </text>
    </comment>
    <comment ref="D240" authorId="0" shapeId="0">
      <text>
        <r>
          <rPr>
            <sz val="10"/>
            <color rgb="FF000000"/>
            <rFont val="Arial"/>
            <charset val="1"/>
          </rPr>
          <t>======
ID#AAABj5x5LbU
    (2025-05-20 16:59:22)
Informar o custo de manutenção em R$/km rodado</t>
        </r>
      </text>
    </comment>
    <comment ref="C245" authorId="0" shapeId="0">
      <text>
        <r>
          <rPr>
            <sz val="10"/>
            <color rgb="FF000000"/>
            <rFont val="Arial"/>
            <charset val="1"/>
          </rPr>
          <t>======
ID#AAABj5x5LPo
    (2025-05-20 16:59:22)
Informar a quantidade de pneus novos de 1 caminhão</t>
        </r>
      </text>
    </comment>
    <comment ref="C246" authorId="0" shapeId="0">
      <text>
        <r>
          <rPr>
            <sz val="10"/>
            <color rgb="FF000000"/>
            <rFont val="Arial"/>
            <charset val="1"/>
          </rPr>
          <t>======
ID#AAABj5x5LQ4
    (2025-05-20 16:59:22)
Informar o número de recapagens por pneu</t>
        </r>
      </text>
    </comment>
    <comment ref="C248" authorId="0" shapeId="0">
      <text>
        <r>
          <rPr>
            <sz val="10"/>
            <color rgb="FF000000"/>
            <rFont val="Arial"/>
            <charset val="1"/>
          </rPr>
          <t>======
ID#AAABj5x5LWo
    (2025-05-20 16:59:22)
Informar a durabilidade média dos pneus considerando todas as recapagens, em km</t>
        </r>
      </text>
    </comment>
    <comment ref="D256" authorId="0" shapeId="0">
      <text>
        <r>
          <rPr>
            <sz val="10"/>
            <color rgb="FF000000"/>
            <rFont val="Arial"/>
            <charset val="1"/>
          </rPr>
          <t>======
ID#AAABj5x5LJs
    (2025-05-20 16:59:22)
Informar o preço unitário do chassis do caminhão de coleta</t>
        </r>
      </text>
    </comment>
    <comment ref="C257" authorId="0" shapeId="0">
      <text>
        <r>
          <rPr>
            <sz val="10"/>
            <color rgb="FF000000"/>
            <rFont val="Arial"/>
            <charset val="1"/>
          </rPr>
          <t>======
ID#AAABj5x5LM0
    (2025-05-20 16:59:22)
Informar a vida útil estimada para o caminhão, em anos</t>
        </r>
      </text>
    </comment>
    <comment ref="C258" authorId="0" shapeId="0">
      <text>
        <r>
          <rPr>
            <sz val="10"/>
            <color rgb="FF000000"/>
            <rFont val="Arial"/>
            <charset val="1"/>
          </rPr>
          <t>======
ID#AAABj5x5Lfo
    (2025-05-20 16:59:22)
Na elaboração do orçamento-base da licitação, informar 0 (zero). Na proposta da licitante, informar a idade do veículo proposto.</t>
        </r>
      </text>
    </comment>
    <comment ref="C259" authorId="0" shapeId="0">
      <text>
        <r>
          <rPr>
            <sz val="10"/>
            <color rgb="FF000000"/>
            <rFont val="Arial"/>
            <charset val="1"/>
          </rPr>
          <t>======
ID#AAABj5x5Lk0
    (2025-05-20 16:59:23)
Informar o valor da depreciação do caminhão, adotando o valor sugerido pelo TCE ou outro valor estimado</t>
        </r>
      </text>
    </comment>
    <comment ref="C262" authorId="0" shapeId="0">
      <text>
        <r>
          <rPr>
            <sz val="10"/>
            <color rgb="FF000000"/>
            <rFont val="Arial"/>
            <charset val="1"/>
          </rPr>
          <t>======
ID#AAABj5x5LgI
    (2025-05-20 16:59:22)
Informar a quantidade de caminhões compactadores do respectivo modelo</t>
        </r>
      </text>
    </comment>
    <comment ref="C268" authorId="0" shapeId="0">
      <text>
        <r>
          <rPr>
            <sz val="10"/>
            <color rgb="FF000000"/>
            <rFont val="Arial"/>
            <charset val="1"/>
          </rPr>
          <t>======
ID#AAABj5x5LX8
    (2025-05-20 16:59:22)
Informar a taxa de juros anual para remuneração do capital. Recomenda-se o uso da Taxa SELIC</t>
        </r>
      </text>
    </comment>
    <comment ref="B286" authorId="0" shapeId="0">
      <text>
        <r>
          <rPr>
            <sz val="10"/>
            <color rgb="FF000000"/>
            <rFont val="Arial"/>
            <charset val="1"/>
          </rPr>
          <t>======
ID#AAABj5x5LiI
    (2025-05-20 16:59:23)
Informar a quilometragem mensal percorrida, de acordo com o projeto básico</t>
        </r>
      </text>
    </comment>
    <comment ref="C290" authorId="0" shapeId="0">
      <text>
        <r>
          <rPr>
            <sz val="10"/>
            <color rgb="FF000000"/>
            <rFont val="Arial"/>
            <charset val="1"/>
          </rPr>
          <t>======
ID#AAABj5x5Lj0
    (2025-05-20 16:59:23)
Informar o consumo estimado do veículo em km/l</t>
        </r>
      </text>
    </comment>
    <comment ref="D290" authorId="0" shapeId="0">
      <text>
        <r>
          <rPr>
            <sz val="10"/>
            <color rgb="FF000000"/>
            <rFont val="Arial"/>
            <charset val="1"/>
          </rPr>
          <t>======
ID#AAABj5x5Lgk
    (2025-05-20 16:59:22)
Informar o preço unitário do combustivel</t>
        </r>
      </text>
    </comment>
    <comment ref="D296" authorId="0" shapeId="0">
      <text>
        <r>
          <rPr>
            <sz val="10"/>
            <color rgb="FF000000"/>
            <rFont val="Arial"/>
            <charset val="1"/>
          </rPr>
          <t>======
ID#AAABj5x5LjU
    (2025-05-20 16:59:23)
Informar o custo de manutenção em R$/km rodado</t>
        </r>
      </text>
    </comment>
    <comment ref="C301" authorId="0" shapeId="0">
      <text>
        <r>
          <rPr>
            <sz val="10"/>
            <color rgb="FF000000"/>
            <rFont val="Arial"/>
            <charset val="1"/>
          </rPr>
          <t>======
ID#AAABj5x5K9g
    (2025-05-20 16:59:22)
Informar a quantidade de pneus novos de 1 caminhão</t>
        </r>
      </text>
    </comment>
    <comment ref="C302" authorId="0" shapeId="0">
      <text>
        <r>
          <rPr>
            <sz val="10"/>
            <color rgb="FF000000"/>
            <rFont val="Arial"/>
            <charset val="1"/>
          </rPr>
          <t>======
ID#AAABj5x5Lmg
    (2025-05-20 16:59:23)
Informar o número de recapagens por pneu</t>
        </r>
      </text>
    </comment>
    <comment ref="D303" authorId="0" shapeId="0">
      <text>
        <r>
          <rPr>
            <sz val="10"/>
            <color rgb="FF000000"/>
            <rFont val="Arial"/>
            <charset val="1"/>
          </rPr>
          <t>======
ID#AAABj5x5LVY
    (2025-05-20 16:59:22)
Informar o preço unitário de cada recapagem</t>
        </r>
      </text>
    </comment>
    <comment ref="C304" authorId="0" shapeId="0">
      <text>
        <r>
          <rPr>
            <sz val="10"/>
            <color rgb="FF000000"/>
            <rFont val="Arial"/>
            <charset val="1"/>
          </rPr>
          <t>======
ID#AAABj5x5Lsk
    (2025-05-20 16:59:23)
Informar a durabilidade média dos pneus considerando todas as recapagens, em km</t>
        </r>
      </text>
    </comment>
    <comment ref="C317" authorId="0" shapeId="0">
      <text>
        <r>
          <rPr>
            <sz val="10"/>
            <color rgb="FF000000"/>
            <rFont val="Arial"/>
            <charset val="1"/>
          </rPr>
          <t>======
ID#AAABj5x5LsQ
    (2025-05-20 16:59:23)
Preencher a aba 4.BDI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12" authorId="0" shapeId="0">
      <text>
        <r>
          <rPr>
            <sz val="10"/>
            <color rgb="FF000000"/>
            <rFont val="Arial"/>
            <charset val="1"/>
          </rPr>
          <t>======
ID#AAABj5x5K8U
    (2025-05-20 16:59:22)
Informar o % de Administração Central estimado</t>
        </r>
      </text>
    </comment>
    <comment ref="C13" authorId="0" shapeId="0">
      <text>
        <r>
          <rPr>
            <sz val="10"/>
            <color rgb="FF000000"/>
            <rFont val="Arial"/>
            <charset val="1"/>
          </rPr>
          <t>======
ID#AAABj5x5Lyk
    (2025-05-20 16:59:23)
Informar o % de Seguros, Riscos e Garantia estimado</t>
        </r>
      </text>
    </comment>
    <comment ref="C14" authorId="0" shapeId="0">
      <text>
        <r>
          <rPr>
            <sz val="10"/>
            <color rgb="FF000000"/>
            <rFont val="Arial"/>
            <charset val="1"/>
          </rPr>
          <t>======
ID#AAABj5x5LqU
    (2025-05-20 16:59:23)
Informar o % de Lucro estimado</t>
        </r>
      </text>
    </comment>
    <comment ref="E15" authorId="0" shapeId="0">
      <text>
        <r>
          <rPr>
            <sz val="10"/>
            <color rgb="FF000000"/>
            <rFont val="Arial"/>
            <charset val="1"/>
          </rPr>
          <t>======
ID#AAABj5x5LrY
    (2025-05-20 16:59:23)
Informar o valor anual da taxa financeira, em percentual. Admite-se utilizar a SELIC</t>
        </r>
      </text>
    </comment>
    <comment ref="C16" authorId="0" shapeId="0">
      <text>
        <r>
          <rPr>
            <sz val="10"/>
            <color rgb="FF000000"/>
            <rFont val="Arial"/>
            <charset val="1"/>
          </rPr>
          <t>======
ID#AAABj5x5LUc
    (2025-05-20 16:59:22)
Informar o percentual de ISS, de acordo com a legislação tributária do município onde serão prestados os serviços. De 2% até o limite de 5%.</t>
        </r>
      </text>
    </comment>
    <comment ref="E16" authorId="0" shapeId="0">
      <text>
        <r>
          <rPr>
            <sz val="10"/>
            <color rgb="FF000000"/>
            <rFont val="Arial"/>
            <charset val="1"/>
          </rPr>
          <t>======
ID#AAABj5x5Luw
    (2025-05-20 16:59:23)
Informar a média de dias úteis entre data de pagamento prevista no contrato e a data final do período de adimplemento da parcela</t>
        </r>
      </text>
    </comment>
    <comment ref="C17" authorId="0" shapeId="0">
      <text>
        <r>
          <rPr>
            <sz val="10"/>
            <color rgb="FF000000"/>
            <rFont val="Arial"/>
            <charset val="1"/>
          </rPr>
          <t>======
ID#AAABj5x5LrE
    (2025-05-20 16:59:23)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<sst xmlns="http://schemas.openxmlformats.org/spreadsheetml/2006/main" count="3179" uniqueCount="585">
  <si>
    <t>SERVIÇOS TERMO DE REFERÊNCIA</t>
  </si>
  <si>
    <t>Item</t>
  </si>
  <si>
    <t>Descrição /Especificação do Objeto</t>
  </si>
  <si>
    <t>Unidade de Medida</t>
  </si>
  <si>
    <t>Quantidade mensal estimada</t>
  </si>
  <si>
    <t>Roçagem e capina manual e mecanizada de meios-fios, vias e logradouros públicos</t>
  </si>
  <si>
    <t>Km</t>
  </si>
  <si>
    <t>Varrição Manual de vias e logradouros públicos</t>
  </si>
  <si>
    <t>Varrição Mecanizada de vias e logradouros públicos</t>
  </si>
  <si>
    <t>Pintura de meios-fios (guias)</t>
  </si>
  <si>
    <t>Referente aos dias trabalhados, está sendo considerado 52 semanas no ano (52 domingos e sábados por ano) e 10 feriados distribuídos ao longo dos 12 meses.</t>
  </si>
  <si>
    <t>Nos serviços que serão executados em sábados alternados, serão considerados 26 sábados por ano</t>
  </si>
  <si>
    <t>Tal recomendação do cálculo de dias segue as orientações do Manual para Análise de Serviços de Limpeza Urbana e Manejo de Resíduos Sólidos do TCE/GO</t>
  </si>
  <si>
    <t>EQUIPES</t>
  </si>
  <si>
    <t>Cargo/Função</t>
  </si>
  <si>
    <t>Roçada/Capina</t>
  </si>
  <si>
    <t>Varrição Manual</t>
  </si>
  <si>
    <t>Varrição Mecanizada</t>
  </si>
  <si>
    <t>Pintura Meio-Fio</t>
  </si>
  <si>
    <t>Total</t>
  </si>
  <si>
    <t>Agente de Limpeza/Varredor</t>
  </si>
  <si>
    <t>Encarregado de Equipe</t>
  </si>
  <si>
    <t>-</t>
  </si>
  <si>
    <t>Motorista Caminhão (Coletor)</t>
  </si>
  <si>
    <t>Motorista de Ônibus Urbano</t>
  </si>
  <si>
    <t>Motorista Caminhão (Coletor) - Encarregado</t>
  </si>
  <si>
    <r>
      <rPr>
        <b/>
        <sz val="10"/>
        <color rgb="FF000000"/>
        <rFont val="Arial"/>
        <charset val="1"/>
      </rPr>
      <t>Motorista</t>
    </r>
    <r>
      <rPr>
        <sz val="10"/>
        <color rgb="FF000000"/>
        <rFont val="Arial"/>
        <charset val="1"/>
      </rPr>
      <t xml:space="preserve"> de Coleta e Entrega, </t>
    </r>
    <r>
      <rPr>
        <b/>
        <sz val="10"/>
        <color rgb="FF000000"/>
        <rFont val="Arial"/>
        <charset val="1"/>
      </rPr>
      <t>Operador</t>
    </r>
    <r>
      <rPr>
        <sz val="10"/>
        <color rgb="FF000000"/>
        <rFont val="Arial"/>
        <charset val="1"/>
      </rPr>
      <t xml:space="preserve"> de Empilhadeira, Guincho e “Operador de máquina Rodoviária” - </t>
    </r>
    <r>
      <rPr>
        <b/>
        <sz val="10"/>
        <color rgb="FF000000"/>
        <rFont val="Arial"/>
        <charset val="1"/>
      </rPr>
      <t>Minicarregadeira e Capinadeira</t>
    </r>
  </si>
  <si>
    <t>Encarregado Geral</t>
  </si>
  <si>
    <t>Gerente Geral</t>
  </si>
  <si>
    <t>Téc.Seg.do Trabalho</t>
  </si>
  <si>
    <t>Responsável Técnico</t>
  </si>
  <si>
    <t>* 01(um) Agente de Limpeza será ajudante do motorista do caminhão carroceria responsável pela coleta dos resíduos da varrição.</t>
  </si>
  <si>
    <t>** 4 minicarregadeiras (1 por equipe). Trator capinadeira: 3 tratores capinadeira com uma vassoura + 1 trator capinadeira com duas vassouras (revezando o uso entre as 4 equipes)</t>
  </si>
  <si>
    <t>VEÍCULOS E EQUIPAMENTOS</t>
  </si>
  <si>
    <t>1) Cálculo do Custo com Combustível e Lubrificantes</t>
  </si>
  <si>
    <t>Conforme metodologia utilizada pelo DNIT, é realizado o cálculo do Custo Horário (Cc) de combustíveis, lubrificantes, filtros e graxas de veículos e equipamentos, a partir da fórmula abaixo:</t>
  </si>
  <si>
    <t>Cc = P*Fc*Vc, sendo:</t>
  </si>
  <si>
    <r>
      <rPr>
        <sz val="10"/>
        <color rgb="FF000000"/>
        <rFont val="Arial"/>
        <charset val="1"/>
      </rPr>
      <t xml:space="preserve">Cc = representa o custo horário de combustíveis, lubrificantes, filtros e graxas (R$/h) – </t>
    </r>
    <r>
      <rPr>
        <b/>
        <sz val="10"/>
        <color rgb="FFFF0000"/>
        <rFont val="Arial"/>
        <charset val="1"/>
      </rPr>
      <t>será calculado nas planilhas de orçamento de cada serviço, em virtude da varição do tipo de combustível</t>
    </r>
  </si>
  <si>
    <t>P representa a potência do motor em kW</t>
  </si>
  <si>
    <t>Fc representa o coeficiente de consumo (l/kWh ou kWh/kWh)</t>
  </si>
  <si>
    <r>
      <rPr>
        <sz val="10"/>
        <color rgb="FF000000"/>
        <rFont val="Arial"/>
        <charset val="1"/>
      </rPr>
      <t xml:space="preserve">Vc representa o valor do combustível(R$) - </t>
    </r>
    <r>
      <rPr>
        <b/>
        <sz val="10"/>
        <color rgb="FFCE181E"/>
        <rFont val="Arial"/>
        <charset val="1"/>
      </rPr>
      <t>será inserido na planilha do orçamento de cada serviço, em virtude da variação do tipo de combustível</t>
    </r>
  </si>
  <si>
    <t>Combustível dia 23/05</t>
  </si>
  <si>
    <t>Como o cálculo do custo na planilha de orçamento é R$/mês com os combustíveis, lubrificantes, filtros e graxas, nesta aba será calculado um fator de consumo no mês destes insumos, e nas abas de orçamento dos serviços, este fator de consumo mensal será multiplicado pelo preço do combustível, redundando no Custo Mensal</t>
  </si>
  <si>
    <t>2) Cálculo do Custo com Manutenção</t>
  </si>
  <si>
    <t>Conforme consta no "Manual para Análise de Serviços de Limpeza Urbana e Manejo de Resíduos Sólidos" do TCE/GO (2017), nas páginas 116 e 117, o Custo de Manutenção (CM) dos equipamentos pode ser determinado pela seguinte expressão:</t>
  </si>
  <si>
    <t>CM = VN*K/ VU*12, sendo:</t>
  </si>
  <si>
    <t>VN = valor do veículo novo (R$)</t>
  </si>
  <si>
    <t>VU - vida útil veículo novo (anos)</t>
  </si>
  <si>
    <t>K - coeficiente de proporcionalidade para manutenção</t>
  </si>
  <si>
    <t>O CM será inserido nas abas de orçamento dos serviços através da fórmula acima, e pegando os dados VN, VU e K da tabela abaixo</t>
  </si>
  <si>
    <t>Equipe</t>
  </si>
  <si>
    <t>Veículo descrição Termo Referência</t>
  </si>
  <si>
    <t>Descrição Veículo e Equipamentos Consulta de Preço</t>
  </si>
  <si>
    <t>Fonte</t>
  </si>
  <si>
    <t>Valor</t>
  </si>
  <si>
    <t>Quantidade</t>
  </si>
  <si>
    <t>Vida útil</t>
  </si>
  <si>
    <t>Valor Residual (%)</t>
  </si>
  <si>
    <t>Coeficiente Manutenção</t>
  </si>
  <si>
    <t>Fc - Coeficiente de Consumo (l/Kwh)</t>
  </si>
  <si>
    <t>P - Potência (Kwh)</t>
  </si>
  <si>
    <t>Horas de uso estimada (h/dia)</t>
  </si>
  <si>
    <t>Nº Dias Trabalhados/Mês</t>
  </si>
  <si>
    <t>Consumo Mês (Litros/Mês)</t>
  </si>
  <si>
    <t>Consumo Mês (Litros/Mês) p/ Frota</t>
  </si>
  <si>
    <t>Capina e Roçada</t>
  </si>
  <si>
    <t>3.1 Caminhão Basculante com capacidade de 6m³ – Pot. Min. 136 Kw (185CV) dotado com banheiro químico - ok</t>
  </si>
  <si>
    <t>Caminhão Basculante com capacidade de 6m³ – Min. 136 Kw (185CV)</t>
  </si>
  <si>
    <t xml:space="preserve">3.2 Retroescavadeira sobre rodas com carregadeira, tração 4x4, potência líq. 88 HP -ok </t>
  </si>
  <si>
    <t>Retroescavadeira sobre rodas com carregadeira, tração 4x4, potência líq. 88 HP</t>
  </si>
  <si>
    <t>3.5 Veículo para transporte de pessoal (Miniônibus) – Mín. 30 lugares, Pot. Min 81 Kw (110 Cv) - ok</t>
  </si>
  <si>
    <t>Veículo para transporte de pessoal (Miniônibus) – Mín. 30 lugares, Pot. Min 81 Kw (110 Cv)</t>
  </si>
  <si>
    <t xml:space="preserve">3.6 Roçadeira Costal/Lateral, Pot. Min 4 HP, a Gasolina ok </t>
  </si>
  <si>
    <t>Roçadeira Costal/Lateral, Pot. Min 4 HP, a Gasolina</t>
  </si>
  <si>
    <t>3.7 Soprador Costal, Pot. Min 3,48 HP - ok</t>
  </si>
  <si>
    <t>Soprador Costal, Pot. Min 3,48 HP</t>
  </si>
  <si>
    <t>3.3 Trator Capinadeira Pot. Min 85 CV equipado com 01 capinadeira/Vassoura Mecânica</t>
  </si>
  <si>
    <t>Trator de Pneus com potência Min. de 85 CV</t>
  </si>
  <si>
    <t>Vassoura Mecânica Rebocável com Escova Cilíndrica Largura Útil de Varrimentop b = 2,44m</t>
  </si>
  <si>
    <t xml:space="preserve">3.4 Trator Capinadeira Pot. Min 85 CV equipado com 02 capinadeira/Vassoura Mecânica (ambos os lados) </t>
  </si>
  <si>
    <t>3.1 Caminhão toco, carga útil máx 9480 kg, potência mínima 185 CV, com carroceria fixa, aberta, de madeira, para transporte geral de carga seca, com dimensões aproximadas de 2,50 x 6,50 x 0,50 m com banheiro químico</t>
  </si>
  <si>
    <t>CAMINHAO TOCO, PESO BRUTO TOTAL 14300 KG, CARGA UTIL MAXIMA 9480 KG, DISTANCIA ENTRE EIXOS 4,80 M, POTENCIA 185 CV (INCLUI CABINE E CHASSI, NAO INCLUI CARROCERIA)</t>
  </si>
  <si>
    <t>CARROCERIA FIXA ABERTA DE MADEIRA PARA TRANSPORTE GERAL DE CARGA SECA DIMENSOES APROXIMADAS 2,5 X 6,5 X 0,50 M (INCLUI MONTAGEM, NAO INCLUI CAMINHAO)</t>
  </si>
  <si>
    <t>3.1 Caminhão PBT mínimo de 14 (quatorze) toneladas equipado com varredeira mecânica 6,5m³</t>
  </si>
  <si>
    <t>Caminhão PBT mínimo de 14 (quatorze) toneladas</t>
  </si>
  <si>
    <t>Varredeira mecânica dotada de sistema de sucção e com capacidade mínima de reservatório de armazenagem de 6,5 m³</t>
  </si>
  <si>
    <t>3.1 Caminhão toco, Pot. Min. 150 CV com carroceria fixa, aberta, de madeira, e com cabine suplementar para 6 passageiros, com capacidade total de no mínimo 06 passageiros. (2 na cabine frontal, 4 na cabine suplementar) - confirmar modelo e potência</t>
  </si>
  <si>
    <t>Caminhão toco, Pot. Min. 150 CV com carroceria fixa, aberta, de madeira, e com cabine suplementar para 6 passageiros, com capacidade total de no mínimo 06 passageiros. (2 na cabine frontal, 4 na cabine suplementar)</t>
  </si>
  <si>
    <t>Administração Geral (Equipe Técnica)</t>
  </si>
  <si>
    <t xml:space="preserve">3.1 Veículo Tipo Passeio 1.0, a Gasolina – 5 passageiros </t>
  </si>
  <si>
    <t xml:space="preserve">Veículo Tipo Passeio 1.0, a Gasolina – 5 passageiros </t>
  </si>
  <si>
    <t>3.2 Veículo Utilitário Picape, cabine Simples 1.6, 16V - Gasolina</t>
  </si>
  <si>
    <t>Veículo Utilitário Picape, cabine Simples 1.6, 16V – Gasolina</t>
  </si>
  <si>
    <t>FERRAMENTAS E INSUMOS</t>
  </si>
  <si>
    <t>Equipamentos e Insumos (estimado)</t>
  </si>
  <si>
    <t>Item - unid. de Medida</t>
  </si>
  <si>
    <t>Quantidade/ano</t>
  </si>
  <si>
    <t>Quantidade/mês</t>
  </si>
  <si>
    <t>Unidade</t>
  </si>
  <si>
    <t>Custo/unid. de Medida</t>
  </si>
  <si>
    <t>Fonte Quantittivo estimado</t>
  </si>
  <si>
    <t>Roçada e Capina</t>
  </si>
  <si>
    <t>Enxada larga 2.5, cabo de madeira aprox. 1,40 m</t>
  </si>
  <si>
    <t>Unid.</t>
  </si>
  <si>
    <t>Manual de Limpeza Urbana - TCE/GO</t>
  </si>
  <si>
    <t>Pá reta</t>
  </si>
  <si>
    <t>Vassoura de aço (rastelo)</t>
  </si>
  <si>
    <t>Vassourão gari cabo inclinado mínimo 1,40 m, cerdas de nylon de no mínimo 4” (10,16 cm).</t>
  </si>
  <si>
    <t>Varrição</t>
  </si>
  <si>
    <t>Vassoura de cabo reto tipo gari, cerdas de 12 cm de nylon</t>
  </si>
  <si>
    <t>Pá de lixo metálica com cabo</t>
  </si>
  <si>
    <t>Saco de lixo 100 litros - 12 micras</t>
  </si>
  <si>
    <t>Dados da fiscalização de contrato nº 496/2018</t>
  </si>
  <si>
    <t>Carrinho para varrição (lutocares)</t>
  </si>
  <si>
    <t>Pintura Meio Fio</t>
  </si>
  <si>
    <t>Trincha retangular para pintura</t>
  </si>
  <si>
    <t>Balde Plástico 10 litros</t>
  </si>
  <si>
    <t>Cal com fixador (Kg)</t>
  </si>
  <si>
    <t>Kg</t>
  </si>
  <si>
    <t>Bombona plástica 200 litros</t>
  </si>
  <si>
    <t>EPI'S e EPC</t>
  </si>
  <si>
    <t>A) ROÇADA E CAPINA MANUAL E MECANIZADA</t>
  </si>
  <si>
    <t>Item (EPI’s e EPC’s) por posto</t>
  </si>
  <si>
    <t>Agente de Limpeza</t>
  </si>
  <si>
    <t>Motorista Caminhão</t>
  </si>
  <si>
    <t>Motorista Ônibus</t>
  </si>
  <si>
    <t>Encarregado</t>
  </si>
  <si>
    <t>Op. Máquina</t>
  </si>
  <si>
    <t>Total Anual</t>
  </si>
  <si>
    <t>Total Mês</t>
  </si>
  <si>
    <t>Unit.</t>
  </si>
  <si>
    <t>Total (x80)</t>
  </si>
  <si>
    <t>Total (x8)</t>
  </si>
  <si>
    <t>Total (x4)</t>
  </si>
  <si>
    <t>Jaqueta com refletivo (NBR 15.292)</t>
  </si>
  <si>
    <t>Calça de brim pesado profissional com refletivo</t>
  </si>
  <si>
    <t>Camiseta básica, malha fria PV com faixa refletiva, manga curta</t>
  </si>
  <si>
    <t>Camiseta básica, malha fria PV com faixa refletiva, manga longa</t>
  </si>
  <si>
    <t>Boné</t>
  </si>
  <si>
    <t>Óculos de Proteção</t>
  </si>
  <si>
    <t>Protetor Auricular Plug silicone</t>
  </si>
  <si>
    <t>Capa de Chuva com refletivo</t>
  </si>
  <si>
    <t>Colete de Segurança Refletivo tipo “X”</t>
  </si>
  <si>
    <t>Luvas de Algodão Pigmentada</t>
  </si>
  <si>
    <t>Protetor Solar (FPS 50) - 200ml</t>
  </si>
  <si>
    <t>Botina de segurança em raspa com biqueira plástica</t>
  </si>
  <si>
    <t>Perneira de proteção 3 talas, com velcro</t>
  </si>
  <si>
    <t>Cone de Sinalização</t>
  </si>
  <si>
    <t>EPC</t>
  </si>
  <si>
    <t>Redes de Proteção</t>
  </si>
  <si>
    <t>Fonte quantitativo: Manual  Limpeza Urbana - TCE/GO</t>
  </si>
  <si>
    <t>B) VARRIÇÃO</t>
  </si>
  <si>
    <t>Total (x60)</t>
  </si>
  <si>
    <t>Total (x2)</t>
  </si>
  <si>
    <t>Total (x1)</t>
  </si>
  <si>
    <t>Protetor Auricular Plug Silicone</t>
  </si>
  <si>
    <t>Protetor Solar (FPS 50) – 200ml</t>
  </si>
  <si>
    <t>C) PINTURA MEIO FIO</t>
  </si>
  <si>
    <t>Motorista Caminhão Encarregado</t>
  </si>
  <si>
    <t>Total (x21)</t>
  </si>
  <si>
    <t>Total (x3)</t>
  </si>
  <si>
    <t>D) EQUIPE TÉCNICA</t>
  </si>
  <si>
    <t>Téc. Seg. Trabalho</t>
  </si>
  <si>
    <t>Engenheiro</t>
  </si>
  <si>
    <t>Fonte: Informação repassapada pela contratada a fiscalização do contrato</t>
  </si>
  <si>
    <t>E) VARRIÇÃO MECANIZADA</t>
  </si>
  <si>
    <t>F) CUSTO EPI E EPC</t>
  </si>
  <si>
    <t>Tipo</t>
  </si>
  <si>
    <t>Valor Unitário</t>
  </si>
  <si>
    <t>EPI</t>
  </si>
  <si>
    <t>Planilha Cotação de Preços SMLC</t>
  </si>
  <si>
    <t>par</t>
  </si>
  <si>
    <t>F) DESTINAÇÃO FINAL DE RESÍDUOS</t>
  </si>
  <si>
    <t>OBJETO</t>
  </si>
  <si>
    <t>MÉDIA</t>
  </si>
  <si>
    <t>MEDIANA</t>
  </si>
  <si>
    <t>DESVIO PADRÃO</t>
  </si>
  <si>
    <t>COEF. VARIAÇÃO</t>
  </si>
  <si>
    <t>VALOR UTILIZADO</t>
  </si>
  <si>
    <t>COTAÇÕES EQUIPE</t>
  </si>
  <si>
    <t>FONTE</t>
  </si>
  <si>
    <t>Serviço de destinação final de resíduos</t>
  </si>
  <si>
    <t>G) RASTREAMENTO DE FROTA POR GPS</t>
  </si>
  <si>
    <t>Serviço - Insumo</t>
  </si>
  <si>
    <t>R$/Unid.</t>
  </si>
  <si>
    <t>Data Base Pesquisa</t>
  </si>
  <si>
    <t>INSTALAÇÃO DO SISTEMA INCL. IDENTIFICADOR DE MOTORISTA POR I-BUTTON</t>
  </si>
  <si>
    <t>EMBASA - F039722414</t>
  </si>
  <si>
    <t>SERVIÇO DE RASTREAMENTO POR GPS, INCL. MONITORAMENTO E GESTÃO DE FROTA</t>
  </si>
  <si>
    <t>Mês</t>
  </si>
  <si>
    <t>EMBASA - F039722412</t>
  </si>
  <si>
    <t>H) LOCAÇÃO DE BANHEIRO QUÍMICO</t>
  </si>
  <si>
    <t>Locação de banheiro químico</t>
  </si>
  <si>
    <t>Excluir esta linha caso a contratação seja por preço global mensal</t>
  </si>
  <si>
    <t>Orientações para preenchimento: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</si>
  <si>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</si>
  <si>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</si>
  <si>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2. Antes de preenchê-la, leia a Orientação Técnica - Serviço de coleta de resíduos sólidos domiciliares</t>
  </si>
  <si>
    <t>3. Preencher somente células em amarelo</t>
  </si>
  <si>
    <t>4. As células azuis deverão ter seus valores preenchidos em outra planilha do arquivo.</t>
  </si>
  <si>
    <t>O TCE/RS não se responsabiliza pelo uso incorreto desta planilha.</t>
  </si>
  <si>
    <t>O orçamento deve ser realizado por responsável técnico habilitado e é de responsabilidade do seu autor.</t>
  </si>
  <si>
    <t xml:space="preserve">1. Capina e Roçada Mecanizada </t>
  </si>
  <si>
    <t>Planilha de Composição de Custos</t>
  </si>
  <si>
    <t>Orçamento Sintético</t>
  </si>
  <si>
    <t>Descrição do Item</t>
  </si>
  <si>
    <t>Custo (R$/mês)</t>
  </si>
  <si>
    <t>%</t>
  </si>
  <si>
    <t xml:space="preserve">    3.1.1. Depreciação    </t>
  </si>
  <si>
    <t xml:space="preserve">    3.1.2. Remuneração do Capital    </t>
  </si>
  <si>
    <t xml:space="preserve">    3.2.1. Depreciação    </t>
  </si>
  <si>
    <t xml:space="preserve">    3.2.2. Remuneração do Capital    </t>
  </si>
  <si>
    <t>3.3. Trator Capinadeira 85 CV equipado com 01 capinadeira/Vassoura Mecânica.</t>
  </si>
  <si>
    <t xml:space="preserve">    3.3.1. Depreciação    </t>
  </si>
  <si>
    <t xml:space="preserve">    3.3.2. Remuneração do Capital    </t>
  </si>
  <si>
    <t>3.4. Trator Capinadeira 85 CV equipado com 02 capinadeiras/Vassoura Mecânicas.</t>
  </si>
  <si>
    <t xml:space="preserve">    3.4.1. Depreciação    </t>
  </si>
  <si>
    <t xml:space="preserve">    3.4.2. Remuneração do Capital    </t>
  </si>
  <si>
    <t>PREÇO TOTAL MENSAL COM A COLETA</t>
  </si>
  <si>
    <t>Quantitativos</t>
  </si>
  <si>
    <t>Mão-de-obra</t>
  </si>
  <si>
    <t>Total de mão-de-obra (postos de trabalho)</t>
  </si>
  <si>
    <t>Veículos e Equipamentos</t>
  </si>
  <si>
    <t>Total de Veículos e Equipamentos</t>
  </si>
  <si>
    <t>Fator de utilização (FU)</t>
  </si>
  <si>
    <t>1. Mão-de-obra</t>
  </si>
  <si>
    <t>1.1. Operários/Agentes de Limpeza</t>
  </si>
  <si>
    <t>Discriminação</t>
  </si>
  <si>
    <t>Custo unitário</t>
  </si>
  <si>
    <t>Subtotal</t>
  </si>
  <si>
    <r>
      <rPr>
        <b/>
        <sz val="9"/>
        <color rgb="FF000000"/>
        <rFont val="Arial"/>
        <charset val="1"/>
      </rPr>
      <t xml:space="preserve">Total </t>
    </r>
    <r>
      <rPr>
        <b/>
        <u/>
        <sz val="9"/>
        <color rgb="FF000000"/>
        <rFont val="Arial"/>
        <charset val="1"/>
      </rPr>
      <t>(R$)</t>
    </r>
  </si>
  <si>
    <t>Piso da categoria</t>
  </si>
  <si>
    <t>mês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</si>
  <si>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</si>
  <si>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</si>
  <si>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</si>
  <si>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</si>
  <si>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</si>
  <si>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</si>
  <si>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</si>
  <si>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Encarregado de Equipe</t>
  </si>
  <si>
    <t>1.3. Motorista Caminhão</t>
  </si>
  <si>
    <t>Piso da categoria (2)</t>
  </si>
  <si>
    <t>Salário mínimo nacional (1)</t>
  </si>
  <si>
    <t>Base de cálculo da Insalubridade</t>
  </si>
  <si>
    <t>Total por Motorista</t>
  </si>
  <si>
    <t>1.4. Motorista Ônibus Urbano</t>
  </si>
  <si>
    <t>1.5. Operador de Máquina Rodoviária (Minicarregadeira e Trator Capinadeira)</t>
  </si>
  <si>
    <t>1.6. Vale Transporte</t>
  </si>
  <si>
    <t>Vale Transporte</t>
  </si>
  <si>
    <t>R$</t>
  </si>
  <si>
    <t>Dias Trabalhados por mês</t>
  </si>
  <si>
    <t>dia</t>
  </si>
  <si>
    <t>vale</t>
  </si>
  <si>
    <t>1.7. Vale-refeição (diário)</t>
  </si>
  <si>
    <t>unidade</t>
  </si>
  <si>
    <t>1.8. Auxílio Alimentação (mensal)</t>
  </si>
  <si>
    <t>Custo Mensal com Mão-de-obra (R$/mês)</t>
  </si>
  <si>
    <t>2. Uniformes e Equipamentos de Proteção Individual</t>
  </si>
  <si>
    <t>2.1. Uniformes e EPIs para Operários/Agente de Limpeza</t>
  </si>
  <si>
    <t>Durabilidade (meses)</t>
  </si>
  <si>
    <t>2.2. Uniformes e EPIs para Encarregado de Equipe</t>
  </si>
  <si>
    <t>2.3. Uniformes e EPIs para Motorista Caminhão</t>
  </si>
  <si>
    <t>2.4. Uniformes e EPIs para Motorista Ônibus</t>
  </si>
  <si>
    <t>2.5. Uniformes e EPIs para Operador de Máquina Rodoviária (Minicarregadeira e Trator Capinadeira)</t>
  </si>
  <si>
    <t>Custo Mensal com Uniformes e EPIs (R$/mês)</t>
  </si>
  <si>
    <t>3. Veículos e Equipamentos</t>
  </si>
  <si>
    <t>3.1 Caminhão Basculante com capacidade de 6m³ – Pot. Min. 136 Kw (185CV)</t>
  </si>
  <si>
    <t>3.1.1. Depreciação</t>
  </si>
  <si>
    <t>Custo de aquisição do chassis</t>
  </si>
  <si>
    <t>Vida útil do chassis</t>
  </si>
  <si>
    <t>anos</t>
  </si>
  <si>
    <t>Idade do veículo</t>
  </si>
  <si>
    <t>Depreciação do chassis</t>
  </si>
  <si>
    <t>Depreciação mensal caminhão</t>
  </si>
  <si>
    <t>Total por veículo</t>
  </si>
  <si>
    <t>Total da frota</t>
  </si>
  <si>
    <t>3.1.2. Remuneração do Capital</t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</si>
  <si>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</si>
  <si>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</si>
  <si>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</si>
  <si>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</si>
  <si>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</si>
  <si>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3.1.3. Impostos e Seguros - Caminhão</t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</si>
  <si>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</si>
  <si>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</si>
  <si>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</si>
  <si>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</si>
  <si>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</si>
  <si>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</si>
  <si>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Fator de Consumo (litros/mês) para combustíveis, lubrificantes, filtros e graxas calculados pelo coeficiente de consumo, para toda a frota</t>
  </si>
  <si>
    <t>Consumo</t>
  </si>
  <si>
    <t>Custo de óleo diesel</t>
  </si>
  <si>
    <t>Litro</t>
  </si>
  <si>
    <t>Custo mensal com combustíveis, lubrificantes, filtros e graxas</t>
  </si>
  <si>
    <t>R$/mês</t>
  </si>
  <si>
    <t>3.1.5. Manutenção</t>
  </si>
  <si>
    <t>K/(VU*12)</t>
  </si>
  <si>
    <t>Valor do Veículo Novo (VN)</t>
  </si>
  <si>
    <t>Custo de manutenção (CM)</t>
  </si>
  <si>
    <t>3.1.6. Pneus</t>
  </si>
  <si>
    <t>Custo do jogo de pneus</t>
  </si>
  <si>
    <t>Número de recapagens por pneu</t>
  </si>
  <si>
    <t>Custo de recapagem</t>
  </si>
  <si>
    <t>Custo jg. compl. + 1 recap./ km rodado</t>
  </si>
  <si>
    <t>km/jogo</t>
  </si>
  <si>
    <t>Custo mensal com pneus</t>
  </si>
  <si>
    <t>km</t>
  </si>
  <si>
    <t>3.1.7. Locação de Banheiro Químico</t>
  </si>
  <si>
    <t>3.1.8. Destinação Final dos Resíduos</t>
  </si>
  <si>
    <t>Destinação final dos resíduos da capina e roçada</t>
  </si>
  <si>
    <t>3.1.9. Monitoramento da Frota</t>
  </si>
  <si>
    <t>Total (R$)</t>
  </si>
  <si>
    <t>Instalação dos equipamentos de monitoramento</t>
  </si>
  <si>
    <t>cj</t>
  </si>
  <si>
    <t>Custo mensal da instalação</t>
  </si>
  <si>
    <t>Serviço de Rastreamento por GPS, incluso monitoramento e Gestão de Frota</t>
  </si>
  <si>
    <t>unidade x mês</t>
  </si>
  <si>
    <t>Custo mensal do rastreamento por Veículo</t>
  </si>
  <si>
    <t>Custo Mensal com Monitoramento da Frota (R$/mês)</t>
  </si>
  <si>
    <t>3.2. Retroescavadeira sobre rodas com carregadeira, tração 4x4, potência líq. 88 HP</t>
  </si>
  <si>
    <t>3.2.1. Depreciação</t>
  </si>
  <si>
    <t>Custo de aquisição - Minicarregadeira</t>
  </si>
  <si>
    <t>Depreciação mensal</t>
  </si>
  <si>
    <t>3.2.2. Remuneração do Capital</t>
  </si>
  <si>
    <t>Custo do chassis - Minicarregadeira</t>
  </si>
  <si>
    <t>Investimento médio total</t>
  </si>
  <si>
    <t>Remuneração mensal de capital</t>
  </si>
  <si>
    <t>3.2.3. Impostos e Seguros</t>
  </si>
  <si>
    <t>Licenciamento e Seguro obrigatório - Não tem</t>
  </si>
  <si>
    <t>3.2.4. Consumos</t>
  </si>
  <si>
    <t>80% da distância percorrida pela equipe de Capina e Roçada</t>
  </si>
  <si>
    <t>3.2.5. Manutenção</t>
  </si>
  <si>
    <t>Custo de manutenção</t>
  </si>
  <si>
    <t>R$/km rodado</t>
  </si>
  <si>
    <t>3.2.6. Pneus</t>
  </si>
  <si>
    <t>Custo do jogo de pneus dianteiro</t>
  </si>
  <si>
    <t>Custo do jogo de pneus traseiro</t>
  </si>
  <si>
    <t>3.2.7. Monitoramento da Frota</t>
  </si>
  <si>
    <t xml:space="preserve">3.3. Trator Capinadeira Pot. Min 85 CV equipado com 01 capinadeira/Vassoura Mecânica
</t>
  </si>
  <si>
    <t>3.3.1. Depreciação</t>
  </si>
  <si>
    <t>Depreciação mensal veículos coletores</t>
  </si>
  <si>
    <t>Custo de aquisição da vassoura mecânica</t>
  </si>
  <si>
    <t>Vida útil vassoura mecânica</t>
  </si>
  <si>
    <t>Idade da vassoura mecânica</t>
  </si>
  <si>
    <t>Depreciação da vassoura mecânica</t>
  </si>
  <si>
    <t>Depreciação mensal da vassoura mecânica</t>
  </si>
  <si>
    <t>3.3.2. Remuneração do Capital</t>
  </si>
  <si>
    <t>Custo da vassoura mecânica</t>
  </si>
  <si>
    <t>Valor da vassoura mecânica proposta (V0)</t>
  </si>
  <si>
    <t>Investimento médio total da vassoura mecânica</t>
  </si>
  <si>
    <t>Remuneração mensal de capital da vassoura</t>
  </si>
  <si>
    <t>3.3.3. Impostos e Seguros</t>
  </si>
  <si>
    <t>3.3.4. Consumos</t>
  </si>
  <si>
    <t>3.3.5. Manutenção</t>
  </si>
  <si>
    <t>3.3.6. Pneus</t>
  </si>
  <si>
    <t>Custo do jogo de pneus  – Pneu Dianteiro</t>
  </si>
  <si>
    <t>Custo do jogo de pneus  – Pneu Traseiro</t>
  </si>
  <si>
    <t>3.3.7. Monitoramento da Frota</t>
  </si>
  <si>
    <t>3.4.1. Depreciação</t>
  </si>
  <si>
    <t>3.4.2. Remuneração do Capital</t>
  </si>
  <si>
    <t>3.4.3. Impostos e Seguros</t>
  </si>
  <si>
    <t>3.4.4. Consumos</t>
  </si>
  <si>
    <t>3.4.5. Manutenção</t>
  </si>
  <si>
    <t>3.4.6. Pneus</t>
  </si>
  <si>
    <t>Custo do jogo de pneus Dianteiros</t>
  </si>
  <si>
    <t>Custo do jogo de pneus Traseiros</t>
  </si>
  <si>
    <t>3.4.7. Monitoramento da Frota</t>
  </si>
  <si>
    <t>3.5. Veículo para transporte de pessoal (Miniônibus) – Mín. 30 lugares, Pot. Min 81 Kw (110 Cv)</t>
  </si>
  <si>
    <t>3.5.1 Depreciação</t>
  </si>
  <si>
    <t>Depreciação mensal onibus</t>
  </si>
  <si>
    <t>3.5.2 Remuneração de Capital</t>
  </si>
  <si>
    <t>3.5.3. Impostos e Seguros - Caminhão</t>
  </si>
  <si>
    <t>3.5.4. Consumos</t>
  </si>
  <si>
    <t>3.5.5. Manutenção</t>
  </si>
  <si>
    <t>Custo de manutenção dos caminhões</t>
  </si>
  <si>
    <t>3.5.6. Pneus</t>
  </si>
  <si>
    <t>3.5.7. Monitoramento da Frota</t>
  </si>
  <si>
    <t>3.6. Roçadeira Costal/Lateral, Pot. Min 4 HP, a Gasolina</t>
  </si>
  <si>
    <t>3.6.1 Depreciação</t>
  </si>
  <si>
    <t>3.6.2 Remuneração de Capital</t>
  </si>
  <si>
    <t>3.6.3. Consumos</t>
  </si>
  <si>
    <t>Custo de Gasolina</t>
  </si>
  <si>
    <t>3.7. Soprador Costal, Pot. Min 3,48 HP</t>
  </si>
  <si>
    <t>3.7.1 Depreciação</t>
  </si>
  <si>
    <t>3.7.2 Remuneração de Capital</t>
  </si>
  <si>
    <t>3.7.3. Consumos</t>
  </si>
  <si>
    <t>Custo Mensal com Veículos e Equipamentos (R$/mês)</t>
  </si>
  <si>
    <t>4. Ferramentas, Materiais de Consumo e EPC</t>
  </si>
  <si>
    <t>Custo Mensal com Ferramentas e Materiais de Consumo (R$/mês)</t>
  </si>
  <si>
    <t>CUSTO TOTAL MENSAL COM DESPESAS OPERACIONAIS (R$/mês)</t>
  </si>
  <si>
    <t>5. Benefícios e Despesas Indiretas - BDI</t>
  </si>
  <si>
    <t>Benefícios e despesas indiretas</t>
  </si>
  <si>
    <t>CUSTO MENSAL COM BDI (R$/mês)</t>
  </si>
  <si>
    <t>6. Apropriação Preço do percentual da Equipe Técnica</t>
  </si>
  <si>
    <t>Fator de utilização (FU) da Equipe Técnica para o serviço</t>
  </si>
  <si>
    <t>Preço Mensal Equipe Técnica (R$/mês)</t>
  </si>
  <si>
    <t>PREÇO APROPRIADO DA EQUIPE TÉCNICA PARA O SERVIÇO (R$/mês)</t>
  </si>
  <si>
    <t>PREÇO MENSAL TOTAL (R$/mês)</t>
  </si>
  <si>
    <t xml:space="preserve">Extensão estimada de Capina e Roçada por mês: </t>
  </si>
  <si>
    <t>PREÇO POR KM:  [A/B]</t>
  </si>
  <si>
    <t>R$/Km</t>
  </si>
  <si>
    <t>2. Varrição de Vias e Logradouros Públicos</t>
  </si>
  <si>
    <t>Horas Extras (100%)</t>
  </si>
  <si>
    <t>hora</t>
  </si>
  <si>
    <t>Descanso Semanal Remunerado (DSR) - hora extra</t>
  </si>
  <si>
    <t>1.4. Vale Transporte</t>
  </si>
  <si>
    <t>1.5. Vale-refeição (diário)</t>
  </si>
  <si>
    <t>1.6. Auxílio Alimentação (mensal)</t>
  </si>
  <si>
    <t>3.1. Caminhão toco, carga útil 9480 kg, potência mínima 185 CV, com carroceria fixa, aberta, de madeira, para transporte geral de carga seca, com dimensões aproximadas de 2,50 x 6,50 x 0,50 m.</t>
  </si>
  <si>
    <t>Custo de aquisição - Carroceria</t>
  </si>
  <si>
    <t>Idade</t>
  </si>
  <si>
    <t>Depreciação</t>
  </si>
  <si>
    <t>Depreciação mensal da carroceria</t>
  </si>
  <si>
    <t>Custo da carroceria</t>
  </si>
  <si>
    <t>Valor proposto (V0)</t>
  </si>
  <si>
    <t>Remuneração mensal de capital da carroceria</t>
  </si>
  <si>
    <t>Destinação final dos resíduos da varrição</t>
  </si>
  <si>
    <t xml:space="preserve">Extensão estimada de Varrição por mês: </t>
  </si>
  <si>
    <t>1.2. Motorista Caminhão</t>
  </si>
  <si>
    <t>1.3. Vale Transporte</t>
  </si>
  <si>
    <t>1.4. Vale-refeição (diário)</t>
  </si>
  <si>
    <t>1.5. Auxílio Alimentação (mensal)</t>
  </si>
  <si>
    <t>2.2. Uniformes e EPIs para Motorista Caminhão</t>
  </si>
  <si>
    <t xml:space="preserve">3.1. Caminhão PBT mínimo de 14 (quatorze) toneladas equipado com varredeira mecânica 6,5m³ </t>
  </si>
  <si>
    <t>Custo de locação - Varredeira mecânica</t>
  </si>
  <si>
    <t>Custo de manutenção dos caminhão</t>
  </si>
  <si>
    <t>OBS: Para a varredeira mecânica não foi considerado o custo de manutanção, devido esse custo ser absorvido pela locação</t>
  </si>
  <si>
    <t>3.1.7. Monitoramento da Frota</t>
  </si>
  <si>
    <t>4. Benefícios e Despesas Indiretas - BDI</t>
  </si>
  <si>
    <t>5. Apropriação Preço do percentual da Equipe Técnica</t>
  </si>
  <si>
    <t>3. Pintura de Meio-Fios</t>
  </si>
  <si>
    <t>1.2. Motorista Caminhão - Encarregado de Equipe</t>
  </si>
  <si>
    <t>2.2. Uniformes e EPIs para Motorista-Encarregado de Equipe</t>
  </si>
  <si>
    <t xml:space="preserve">3.1. Caminhão toco, Pot. Min. 150 CV com carroceria fixa, aberta, de madeira, e com cabine suplementar para 6 passageiros, com capacidade total de no mínimo 08 passageiros. (2 na cabine frontal, 6 na cabine suplementar)
</t>
  </si>
  <si>
    <t xml:space="preserve">Custo do jogo de pneus </t>
  </si>
  <si>
    <t>3.1.8. Monitoramento da Frota</t>
  </si>
  <si>
    <t xml:space="preserve">Extensão estimada de Pintura de Meio-Fio por mês: </t>
  </si>
  <si>
    <t>5. Equipe Técnica</t>
  </si>
  <si>
    <t>Fator de utilização (FU) Encarregado Geral, Gerente Geral e Téc. Seg. do Trabalho</t>
  </si>
  <si>
    <t>Fator de utilização (FU) Responsável Técnico (Engenheiro/ 20 horas semanais)</t>
  </si>
  <si>
    <t>1.1. Encarregado Geral</t>
  </si>
  <si>
    <t>Total por Encarregado Geral</t>
  </si>
  <si>
    <t>1.2. Gerente Geral</t>
  </si>
  <si>
    <t>Total por Gerente Geral</t>
  </si>
  <si>
    <t>1.3. Técnico de Segurança do Trabalho</t>
  </si>
  <si>
    <t>Total por Técnico de Segurança do Trabalho</t>
  </si>
  <si>
    <t>1.4. Responsável Técnico (Engenheiro/ 20 horas semanais)</t>
  </si>
  <si>
    <t>Total por Responsável Técnico</t>
  </si>
  <si>
    <t>1.5. Vale Transporte Gerente Geral, Técnico de Segurança do Trabalho e Engenheiro</t>
  </si>
  <si>
    <t>1.6. Vale Transporte Encarregado Geral</t>
  </si>
  <si>
    <t>1.6. Vale-refeição (diário)</t>
  </si>
  <si>
    <t>1.7. Auxílio Alimentação (mensal)</t>
  </si>
  <si>
    <t>2.1. Uniformes e EPIs para Encarregado Geral</t>
  </si>
  <si>
    <t>2.2. Uniformes e EPIs para Gerente Geral</t>
  </si>
  <si>
    <t>2.3. Uniformes e EPIs para Técnico de Segurança do Trabalho</t>
  </si>
  <si>
    <t>2.4. Uniformes e EPIs para Responsável Técnico (Engenheiro/ Não Integral)</t>
  </si>
  <si>
    <t>frasco 200ml</t>
  </si>
  <si>
    <t>3.1. Veículo Tipo Passeio 1.0, a Gasolina – 5 passageiros</t>
  </si>
  <si>
    <t>Depreciação mensal veículo</t>
  </si>
  <si>
    <t>Custo de manutenção do veículo</t>
  </si>
  <si>
    <t>Custo de recapagem – Não será realizado</t>
  </si>
  <si>
    <t>3.2 Picape Utilitária, cabine Simples 1.6</t>
  </si>
  <si>
    <r>
      <rPr>
        <sz val="10"/>
        <color rgb="FF000000"/>
        <rFont val="Arial"/>
        <charset val="1"/>
      </rPr>
      <t xml:space="preserve">Custo jg. compl. + </t>
    </r>
    <r>
      <rPr>
        <sz val="10"/>
        <color rgb="FFFF0000"/>
        <rFont val="Arial"/>
        <charset val="1"/>
      </rPr>
      <t>X</t>
    </r>
    <r>
      <rPr>
        <sz val="10"/>
        <color rgb="FF000000"/>
        <rFont val="Arial"/>
        <charset val="1"/>
      </rPr>
      <t xml:space="preserve"> recap./ km rodado</t>
    </r>
  </si>
  <si>
    <t>1. Preencha previamente os dados de entrada na planilha 3.CAGED</t>
  </si>
  <si>
    <t xml:space="preserve">2. Composição dos Encargos Sociais </t>
  </si>
  <si>
    <t>Código</t>
  </si>
  <si>
    <t>Descrição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</si>
  <si>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</si>
  <si>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</si>
  <si>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</si>
  <si>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</si>
  <si>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</si>
  <si>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</si>
  <si>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</si>
  <si>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</si>
  <si>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</si>
  <si>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</si>
  <si>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</si>
  <si>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</si>
  <si>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</si>
  <si>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</si>
  <si>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</si>
  <si>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</si>
  <si>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</si>
  <si>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</si>
  <si>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</si>
  <si>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</si>
  <si>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</si>
  <si>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</si>
  <si>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</si>
  <si>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</si>
  <si>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</si>
  <si>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</si>
  <si>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</si>
  <si>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</si>
  <si>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</si>
  <si>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</si>
  <si>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</si>
  <si>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</si>
  <si>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</si>
  <si>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</si>
  <si>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</si>
  <si>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</si>
  <si>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</si>
  <si>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</si>
  <si>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</si>
  <si>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</si>
  <si>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</si>
  <si>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</si>
  <si>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</si>
  <si>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</si>
  <si>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</si>
  <si>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</si>
  <si>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</si>
  <si>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</si>
  <si>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</si>
  <si>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</si>
  <si>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</si>
  <si>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 DOS EMPREGADOS NO SETOR DE COLETA DE RSU</t>
  </si>
  <si>
    <t>Tendo em vista que o CAGED foi descontinuado em janeiro de 2020, esta planilha foi atualizada até 31/12/2019.</t>
  </si>
  <si>
    <t>Preencha as células em amarelo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</si>
  <si>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</si>
  <si>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</si>
  <si>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</si>
  <si>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</si>
  <si>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</si>
  <si>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</si>
  <si>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</si>
  <si>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</si>
  <si>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</si>
  <si>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</si>
  <si>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</si>
  <si>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</si>
  <si>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</si>
  <si>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 xml:space="preserve"> </t>
  </si>
  <si>
    <t>Indicadores</t>
  </si>
  <si>
    <t>Estoque recuperado início do Período 01-04-2024</t>
  </si>
  <si>
    <t>Estoque recuperado final do Período 31-03-2025</t>
  </si>
  <si>
    <t>Variação Emprego Absoluta de 01-04-2024 a 31-03-2025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</si>
  <si>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</si>
  <si>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</si>
  <si>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</si>
  <si>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</si>
  <si>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</si>
  <si>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</si>
  <si>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</si>
  <si>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</si>
  <si>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</si>
  <si>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</si>
  <si>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Ajustado, de acordo com a nova Lei Federal nº 13.932/2019</t>
  </si>
  <si>
    <t>1. Esta planilha é somente um modelo-base e deve ser ajustada conforme cada caso concreto.</t>
  </si>
  <si>
    <t>2. Preencher somente células em amarelo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</si>
  <si>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</si>
  <si>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</si>
  <si>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</si>
  <si>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</si>
  <si>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</si>
  <si>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</si>
  <si>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</si>
  <si>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</si>
  <si>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</si>
  <si>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</si>
  <si>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</si>
  <si>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</si>
  <si>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</si>
  <si>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</si>
  <si>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</si>
  <si>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</si>
  <si>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</si>
  <si>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</si>
  <si>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</si>
  <si>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</si>
  <si>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</si>
  <si>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</si>
  <si>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</si>
  <si>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</si>
  <si>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</si>
  <si>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</si>
  <si>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rgb="FF000000"/>
        <rFont val="Arial"/>
        <charset val="1"/>
      </rPr>
      <t>J</t>
    </r>
    <r>
      <rPr>
        <vertAlign val="subscript"/>
        <sz val="12"/>
        <color rgb="FF000000"/>
        <rFont val="Arial"/>
        <charset val="1"/>
      </rPr>
      <t>m</t>
    </r>
    <r>
      <rPr>
        <sz val="12"/>
        <color rgb="FF000000"/>
        <rFont val="Arial"/>
        <charset val="1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</si>
  <si>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</si>
  <si>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</si>
  <si>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rgb="FF000000"/>
        <rFont val="Arial"/>
        <charset val="1"/>
      </rPr>
      <t>V</t>
    </r>
    <r>
      <rPr>
        <vertAlign val="subscript"/>
        <sz val="12"/>
        <color rgb="FF000000"/>
        <rFont val="Arial"/>
        <charset val="1"/>
      </rPr>
      <t>0</t>
    </r>
    <r>
      <rPr>
        <sz val="12"/>
        <color rgb="FF000000"/>
        <rFont val="Arial"/>
        <charset val="1"/>
      </rPr>
      <t xml:space="preserve"> = valor inicial do bem</t>
    </r>
  </si>
  <si>
    <r>
      <rPr>
        <sz val="12"/>
        <color rgb="FF000000"/>
        <rFont val="Arial"/>
        <charset val="1"/>
      </rPr>
      <t>V</t>
    </r>
    <r>
      <rPr>
        <vertAlign val="subscript"/>
        <sz val="12"/>
        <color rgb="FF000000"/>
        <rFont val="Arial"/>
        <charset val="1"/>
      </rPr>
      <t>r</t>
    </r>
    <r>
      <rPr>
        <sz val="12"/>
        <color rgb="FF000000"/>
        <rFont val="Arial"/>
        <charset val="1"/>
      </rPr>
      <t xml:space="preserve"> = valor residual do bem</t>
    </r>
  </si>
  <si>
    <t>n = vida útil do bem em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</si>
</sst>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\-??_);_(@_)"/>
    <numFmt numFmtId="165" formatCode="&quot;R$ &quot;#,##0.00"/>
    <numFmt numFmtId="166" formatCode="_(* #,##0_);_(* \(#,##0\);_(* \-??_);_(@_)"/>
    <numFmt numFmtId="167" formatCode="[$R$ -416]#,##0.00"/>
    <numFmt numFmtId="168" formatCode="mmm/d"/>
    <numFmt numFmtId="169" formatCode="_-* #,##0.00_-;\-* #,##0.00_-;_-* \-??_-;_-@"/>
    <numFmt numFmtId="170" formatCode="_(* #,##0.000_);_(* \(#,##0.000\);_(* \-??_);_(@_)"/>
    <numFmt numFmtId="171" formatCode="&quot;R$ &quot;#,##0.00_);&quot;(R$ &quot;#,##0.00\)"/>
    <numFmt numFmtId="172" formatCode="_(* #,##0.0000_);_(* \(#,##0.0000\);_(* \-??_);_(@_)"/>
    <numFmt numFmtId="173" formatCode="0.0000"/>
  </numFmts>
  <fonts count="33" x14ac:knownFonts="1">
    <font>
      <sz val="10"/>
      <color rgb="FF000000"/>
      <name val="Arial"/>
      <charset val="1"/>
    </font>
    <font>
      <b/>
      <sz val="12"/>
      <color rgb="FF000000"/>
      <name val="Arial"/>
      <charset val="1"/>
    </font>
    <font>
      <b/>
      <sz val="12"/>
      <color rgb="FFFF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Arial"/>
      <charset val="1"/>
    </font>
    <font>
      <b/>
      <sz val="10"/>
      <color rgb="FF0070C0"/>
      <name val="Arial"/>
      <charset val="1"/>
    </font>
    <font>
      <b/>
      <sz val="10"/>
      <color rgb="FFFF0000"/>
      <name val="Arial"/>
      <charset val="1"/>
    </font>
    <font>
      <b/>
      <sz val="10"/>
      <color rgb="FFCE181E"/>
      <name val="Arial"/>
      <charset val="1"/>
    </font>
    <font>
      <u/>
      <sz val="10"/>
      <color rgb="FF0000FF"/>
      <name val="Arial"/>
      <charset val="1"/>
    </font>
    <font>
      <b/>
      <sz val="10"/>
      <color rgb="FF00000A"/>
      <name val="Arial"/>
      <charset val="1"/>
    </font>
    <font>
      <sz val="10"/>
      <color rgb="FF00000A"/>
      <name val="Arial"/>
      <charset val="1"/>
    </font>
    <font>
      <sz val="11"/>
      <color rgb="FF00000A"/>
      <name val="Times New Roman"/>
      <charset val="1"/>
    </font>
    <font>
      <b/>
      <sz val="10"/>
      <color rgb="FF111111"/>
      <name val="Arial"/>
      <charset val="1"/>
    </font>
    <font>
      <b/>
      <sz val="11"/>
      <color rgb="FF00000A"/>
      <name val="Arial"/>
      <charset val="1"/>
    </font>
    <font>
      <sz val="8"/>
      <color rgb="FF000000"/>
      <name val="Arial"/>
      <charset val="1"/>
    </font>
    <font>
      <b/>
      <sz val="9"/>
      <color rgb="FF000000"/>
      <name val="Arial"/>
      <charset val="1"/>
    </font>
    <font>
      <b/>
      <sz val="12"/>
      <color rgb="FF00000A"/>
      <name val="Calibri"/>
      <charset val="1"/>
    </font>
    <font>
      <b/>
      <sz val="10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000000"/>
      <name val="Calibri"/>
      <charset val="1"/>
    </font>
    <font>
      <u/>
      <sz val="11"/>
      <color rgb="FF0000FF"/>
      <name val="Arial"/>
      <charset val="1"/>
    </font>
    <font>
      <u/>
      <sz val="11"/>
      <color rgb="FF0000FF"/>
      <name val="Calibri"/>
      <charset val="1"/>
    </font>
    <font>
      <sz val="10"/>
      <color rgb="FFFF0000"/>
      <name val="Arial"/>
      <charset val="1"/>
    </font>
    <font>
      <i/>
      <sz val="10"/>
      <color rgb="FF000000"/>
      <name val="Arial"/>
      <charset val="1"/>
    </font>
    <font>
      <sz val="12"/>
      <color rgb="FF000000"/>
      <name val="Arial"/>
      <charset val="1"/>
    </font>
    <font>
      <b/>
      <sz val="14"/>
      <color rgb="FF000000"/>
      <name val="Arial"/>
      <charset val="1"/>
    </font>
    <font>
      <b/>
      <u/>
      <sz val="9"/>
      <color rgb="FF000000"/>
      <name val="Arial"/>
      <charset val="1"/>
    </font>
    <font>
      <u/>
      <sz val="10"/>
      <color rgb="FF000000"/>
      <name val="Arial"/>
      <charset val="1"/>
    </font>
    <font>
      <b/>
      <i/>
      <sz val="8"/>
      <color rgb="FF000000"/>
      <name val="Arial"/>
      <charset val="1"/>
    </font>
    <font>
      <b/>
      <i/>
      <sz val="10"/>
      <color rgb="FF000000"/>
      <name val="Arial"/>
      <charset val="1"/>
    </font>
    <font>
      <vertAlign val="subscript"/>
      <sz val="12"/>
      <color rgb="FF000000"/>
      <name val="Arial"/>
      <charset val="1"/>
    </font>
  </fonts>
  <fills count="21">
    <fill>
      <patternFill patternType="none"/>
    </fill>
    <fill>
      <patternFill patternType="gray125"/>
    </fill>
    <fill>
      <patternFill patternType="solid">
        <fgColor rgb="FFFAD3B3"/>
        <bgColor rgb="FFDDD9C3"/>
      </patternFill>
    </fill>
    <fill>
      <patternFill patternType="solid">
        <fgColor rgb="FFEBF1DE"/>
        <bgColor rgb="FFEEECE1"/>
      </patternFill>
    </fill>
    <fill>
      <patternFill patternType="solid">
        <fgColor rgb="FFC3D69B"/>
        <bgColor rgb="FFDDD9C3"/>
      </patternFill>
    </fill>
    <fill>
      <patternFill patternType="solid">
        <fgColor rgb="FFFDEADA"/>
        <bgColor rgb="FFEEECE1"/>
      </patternFill>
    </fill>
    <fill>
      <patternFill patternType="solid">
        <fgColor rgb="FFFF9900"/>
        <bgColor rgb="FFFF6600"/>
      </patternFill>
    </fill>
    <fill>
      <patternFill patternType="solid">
        <fgColor rgb="FFFFFFFF"/>
        <bgColor rgb="FFFFFFCC"/>
      </patternFill>
    </fill>
    <fill>
      <patternFill patternType="solid">
        <fgColor rgb="FFFFFBCC"/>
        <bgColor rgb="FFFFFFCC"/>
      </patternFill>
    </fill>
    <fill>
      <patternFill patternType="solid">
        <fgColor rgb="FFFFFFCC"/>
        <bgColor rgb="FFFFFBCC"/>
      </patternFill>
    </fill>
    <fill>
      <patternFill patternType="solid">
        <fgColor rgb="FFFFF200"/>
        <bgColor rgb="FFFFFF00"/>
      </patternFill>
    </fill>
    <fill>
      <patternFill patternType="solid">
        <fgColor rgb="FFE6E0EC"/>
        <bgColor rgb="FFEEECE1"/>
      </patternFill>
    </fill>
    <fill>
      <patternFill patternType="solid">
        <fgColor rgb="FFFFFF00"/>
        <bgColor rgb="FFFFF200"/>
      </patternFill>
    </fill>
    <fill>
      <patternFill patternType="solid">
        <fgColor rgb="FFBCE4E5"/>
        <bgColor rgb="FFC6D9F1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6D9F1"/>
        <bgColor rgb="FFBCE4E5"/>
      </patternFill>
    </fill>
    <fill>
      <patternFill patternType="solid">
        <fgColor rgb="FFD9D9D9"/>
        <bgColor rgb="FFDDD9C3"/>
      </patternFill>
    </fill>
    <fill>
      <patternFill patternType="solid">
        <fgColor rgb="FFA6A6A6"/>
        <bgColor rgb="FFBFBFBF"/>
      </patternFill>
    </fill>
    <fill>
      <patternFill patternType="solid">
        <fgColor rgb="FFDDD9C3"/>
        <bgColor rgb="FFD9D9D9"/>
      </patternFill>
    </fill>
    <fill>
      <patternFill patternType="solid">
        <fgColor rgb="FFEEECE1"/>
        <bgColor rgb="FFEBF1DE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09">
    <xf numFmtId="0" fontId="0" fillId="0" borderId="0" xfId="0"/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4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top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3" fillId="0" borderId="0" xfId="0" applyFont="1"/>
    <xf numFmtId="165" fontId="0" fillId="0" borderId="0" xfId="0" applyNumberFormat="1" applyFont="1" applyAlignment="1">
      <alignment vertical="center"/>
    </xf>
    <xf numFmtId="1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0" fillId="0" borderId="0" xfId="0" applyNumberFormat="1" applyFont="1" applyAlignment="1">
      <alignment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4" fontId="9" fillId="5" borderId="18" xfId="0" applyNumberFormat="1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5" borderId="20" xfId="0" applyNumberFormat="1" applyFont="1" applyFill="1" applyBorder="1" applyAlignment="1">
      <alignment horizontal="center" vertical="center" wrapText="1"/>
    </xf>
    <xf numFmtId="4" fontId="9" fillId="5" borderId="23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" fontId="9" fillId="5" borderId="26" xfId="0" applyNumberFormat="1" applyFont="1" applyFill="1" applyBorder="1" applyAlignment="1">
      <alignment horizontal="center" vertical="center" wrapText="1"/>
    </xf>
    <xf numFmtId="4" fontId="9" fillId="5" borderId="2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9" fillId="0" borderId="29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left" vertical="center"/>
    </xf>
    <xf numFmtId="4" fontId="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4" fontId="9" fillId="0" borderId="37" xfId="0" applyNumberFormat="1" applyFont="1" applyBorder="1" applyAlignment="1">
      <alignment horizontal="center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4" fontId="9" fillId="0" borderId="40" xfId="0" applyNumberFormat="1" applyFont="1" applyBorder="1" applyAlignment="1">
      <alignment horizontal="center" vertical="center" wrapText="1"/>
    </xf>
    <xf numFmtId="4" fontId="9" fillId="0" borderId="41" xfId="0" applyNumberFormat="1" applyFont="1" applyBorder="1" applyAlignment="1">
      <alignment horizontal="center" vertical="center" wrapText="1"/>
    </xf>
    <xf numFmtId="165" fontId="9" fillId="0" borderId="4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4" fontId="9" fillId="0" borderId="48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165" fontId="9" fillId="7" borderId="49" xfId="0" applyNumberFormat="1" applyFont="1" applyFill="1" applyBorder="1" applyAlignment="1">
      <alignment horizontal="center" vertical="center" wrapText="1"/>
    </xf>
    <xf numFmtId="4" fontId="9" fillId="0" borderId="53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165" fontId="9" fillId="0" borderId="54" xfId="0" applyNumberFormat="1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9" fillId="1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/>
    <xf numFmtId="0" fontId="9" fillId="10" borderId="62" xfId="0" applyFont="1" applyFill="1" applyBorder="1" applyAlignment="1">
      <alignment horizontal="center" vertical="center" wrapText="1"/>
    </xf>
    <xf numFmtId="0" fontId="9" fillId="10" borderId="63" xfId="0" applyFont="1" applyFill="1" applyBorder="1" applyAlignment="1">
      <alignment horizontal="center" vertical="center" wrapText="1"/>
    </xf>
    <xf numFmtId="0" fontId="9" fillId="10" borderId="64" xfId="0" applyFont="1" applyFill="1" applyBorder="1" applyAlignment="1">
      <alignment horizontal="center" vertical="center" wrapText="1"/>
    </xf>
    <xf numFmtId="0" fontId="9" fillId="1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0" fillId="11" borderId="66" xfId="0" applyFont="1" applyFill="1" applyBorder="1" applyAlignment="1">
      <alignment horizontal="left" vertical="center" wrapText="1"/>
    </xf>
    <xf numFmtId="0" fontId="9" fillId="11" borderId="67" xfId="0" applyFont="1" applyFill="1" applyBorder="1" applyAlignment="1">
      <alignment horizontal="center" vertical="center" wrapText="1"/>
    </xf>
    <xf numFmtId="0" fontId="10" fillId="11" borderId="68" xfId="0" applyFont="1" applyFill="1" applyBorder="1" applyAlignment="1">
      <alignment horizontal="left" vertical="center" wrapText="1"/>
    </xf>
    <xf numFmtId="0" fontId="9" fillId="11" borderId="7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10" borderId="72" xfId="0" applyFont="1" applyFill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10" borderId="59" xfId="0" applyFont="1" applyFill="1" applyBorder="1" applyAlignment="1">
      <alignment horizontal="left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10" fillId="12" borderId="21" xfId="0" applyNumberFormat="1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165" fontId="10" fillId="12" borderId="52" xfId="0" applyNumberFormat="1" applyFont="1" applyFill="1" applyBorder="1" applyAlignment="1">
      <alignment horizontal="center" vertical="center" wrapText="1"/>
    </xf>
    <xf numFmtId="165" fontId="10" fillId="12" borderId="56" xfId="0" applyNumberFormat="1" applyFont="1" applyFill="1" applyBorder="1" applyAlignment="1">
      <alignment horizontal="center" vertical="center" wrapText="1"/>
    </xf>
    <xf numFmtId="0" fontId="10" fillId="11" borderId="81" xfId="0" applyFont="1" applyFill="1" applyBorder="1" applyAlignment="1">
      <alignment horizontal="left" vertical="center" wrapText="1"/>
    </xf>
    <xf numFmtId="0" fontId="10" fillId="11" borderId="41" xfId="0" applyFont="1" applyFill="1" applyBorder="1" applyAlignment="1">
      <alignment horizontal="center" vertical="center" wrapText="1"/>
    </xf>
    <xf numFmtId="165" fontId="10" fillId="11" borderId="56" xfId="0" applyNumberFormat="1" applyFont="1" applyFill="1" applyBorder="1" applyAlignment="1">
      <alignment horizontal="center" vertical="center" wrapText="1"/>
    </xf>
    <xf numFmtId="0" fontId="10" fillId="11" borderId="82" xfId="0" applyFont="1" applyFill="1" applyBorder="1" applyAlignment="1">
      <alignment horizontal="left" vertical="center" wrapText="1"/>
    </xf>
    <xf numFmtId="0" fontId="10" fillId="11" borderId="22" xfId="0" applyFont="1" applyFill="1" applyBorder="1" applyAlignment="1">
      <alignment horizontal="center" vertical="center" wrapText="1"/>
    </xf>
    <xf numFmtId="165" fontId="10" fillId="11" borderId="57" xfId="0" applyNumberFormat="1" applyFont="1" applyFill="1" applyBorder="1" applyAlignment="1">
      <alignment horizontal="center" vertical="center" wrapText="1"/>
    </xf>
    <xf numFmtId="13" fontId="0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17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4" fontId="18" fillId="1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7" fontId="1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7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0" fillId="12" borderId="59" xfId="0" applyFont="1" applyFill="1" applyBorder="1" applyAlignment="1">
      <alignment horizontal="left"/>
    </xf>
    <xf numFmtId="0" fontId="20" fillId="12" borderId="9" xfId="0" applyFont="1" applyFill="1" applyBorder="1" applyAlignment="1">
      <alignment horizontal="center"/>
    </xf>
    <xf numFmtId="13" fontId="20" fillId="12" borderId="9" xfId="0" applyNumberFormat="1" applyFont="1" applyFill="1" applyBorder="1" applyAlignment="1">
      <alignment horizontal="center"/>
    </xf>
    <xf numFmtId="164" fontId="20" fillId="12" borderId="71" xfId="0" applyNumberFormat="1" applyFont="1" applyFill="1" applyBorder="1" applyAlignment="1">
      <alignment horizontal="center"/>
    </xf>
    <xf numFmtId="0" fontId="4" fillId="0" borderId="8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3" fontId="4" fillId="0" borderId="64" xfId="0" applyNumberFormat="1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164" fontId="0" fillId="0" borderId="0" xfId="0" applyNumberFormat="1" applyFont="1"/>
    <xf numFmtId="0" fontId="4" fillId="0" borderId="84" xfId="0" applyFont="1" applyBorder="1" applyAlignment="1">
      <alignment horizontal="left"/>
    </xf>
    <xf numFmtId="0" fontId="4" fillId="0" borderId="85" xfId="0" applyFont="1" applyBorder="1" applyAlignment="1">
      <alignment horizontal="center"/>
    </xf>
    <xf numFmtId="167" fontId="4" fillId="0" borderId="85" xfId="0" applyNumberFormat="1" applyFont="1" applyBorder="1" applyAlignment="1">
      <alignment horizontal="center"/>
    </xf>
    <xf numFmtId="1" fontId="4" fillId="0" borderId="75" xfId="0" applyNumberFormat="1" applyFont="1" applyBorder="1" applyAlignment="1">
      <alignment horizontal="center"/>
    </xf>
    <xf numFmtId="168" fontId="4" fillId="0" borderId="79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right" vertical="center"/>
    </xf>
    <xf numFmtId="167" fontId="2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69" fontId="0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vertical="center"/>
    </xf>
    <xf numFmtId="170" fontId="0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horizontal="left" vertical="center" wrapText="1"/>
    </xf>
    <xf numFmtId="4" fontId="0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0" fillId="0" borderId="87" xfId="0" applyFont="1" applyBorder="1" applyAlignment="1">
      <alignment vertical="center"/>
    </xf>
    <xf numFmtId="164" fontId="0" fillId="0" borderId="46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horizontal="center" vertical="center"/>
    </xf>
    <xf numFmtId="164" fontId="0" fillId="0" borderId="89" xfId="0" applyNumberFormat="1" applyFont="1" applyBorder="1" applyAlignment="1">
      <alignment vertical="center"/>
    </xf>
    <xf numFmtId="164" fontId="3" fillId="0" borderId="89" xfId="0" applyNumberFormat="1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164" fontId="3" fillId="0" borderId="71" xfId="0" applyNumberFormat="1" applyFont="1" applyBorder="1" applyAlignment="1">
      <alignment horizontal="center" vertical="center"/>
    </xf>
    <xf numFmtId="164" fontId="3" fillId="0" borderId="83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0" fontId="3" fillId="0" borderId="90" xfId="0" applyNumberFormat="1" applyFont="1" applyBorder="1" applyAlignment="1">
      <alignment vertical="center"/>
    </xf>
    <xf numFmtId="164" fontId="0" fillId="0" borderId="83" xfId="0" applyNumberFormat="1" applyFont="1" applyBorder="1" applyAlignment="1">
      <alignment vertical="center"/>
    </xf>
    <xf numFmtId="164" fontId="0" fillId="0" borderId="64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0" fontId="0" fillId="0" borderId="90" xfId="0" applyNumberFormat="1" applyFont="1" applyBorder="1" applyAlignment="1">
      <alignment vertical="center"/>
    </xf>
    <xf numFmtId="164" fontId="3" fillId="0" borderId="83" xfId="0" applyNumberFormat="1" applyFont="1" applyBorder="1" applyAlignment="1">
      <alignment horizontal="left" vertical="center"/>
    </xf>
    <xf numFmtId="4" fontId="3" fillId="0" borderId="64" xfId="0" applyNumberFormat="1" applyFont="1" applyBorder="1" applyAlignment="1">
      <alignment horizontal="center" vertical="center"/>
    </xf>
    <xf numFmtId="164" fontId="8" fillId="0" borderId="83" xfId="0" applyNumberFormat="1" applyFont="1" applyBorder="1" applyAlignment="1">
      <alignment horizontal="left" vertical="center"/>
    </xf>
    <xf numFmtId="4" fontId="0" fillId="0" borderId="64" xfId="0" applyNumberFormat="1" applyFont="1" applyBorder="1" applyAlignment="1">
      <alignment horizontal="center" vertical="center"/>
    </xf>
    <xf numFmtId="164" fontId="0" fillId="0" borderId="83" xfId="0" applyNumberFormat="1" applyFont="1" applyBorder="1" applyAlignment="1">
      <alignment horizontal="left" vertical="center"/>
    </xf>
    <xf numFmtId="164" fontId="0" fillId="0" borderId="83" xfId="0" applyNumberFormat="1" applyFont="1" applyBorder="1" applyAlignment="1">
      <alignment horizontal="left" vertical="top" wrapText="1"/>
    </xf>
    <xf numFmtId="164" fontId="0" fillId="0" borderId="64" xfId="0" applyNumberFormat="1" applyFont="1" applyBorder="1" applyAlignment="1">
      <alignment horizontal="left" vertical="top" wrapText="1"/>
    </xf>
    <xf numFmtId="165" fontId="3" fillId="0" borderId="85" xfId="0" applyNumberFormat="1" applyFont="1" applyBorder="1" applyAlignment="1">
      <alignment vertical="center"/>
    </xf>
    <xf numFmtId="164" fontId="3" fillId="0" borderId="91" xfId="0" applyNumberFormat="1" applyFont="1" applyBorder="1" applyAlignment="1">
      <alignment horizontal="left" vertical="center"/>
    </xf>
    <xf numFmtId="4" fontId="3" fillId="0" borderId="34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vertical="center"/>
    </xf>
    <xf numFmtId="171" fontId="3" fillId="0" borderId="92" xfId="0" applyNumberFormat="1" applyFont="1" applyBorder="1" applyAlignment="1">
      <alignment vertical="center"/>
    </xf>
    <xf numFmtId="9" fontId="3" fillId="0" borderId="35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0" fillId="0" borderId="88" xfId="0" applyNumberFormat="1" applyFont="1" applyBorder="1" applyAlignment="1">
      <alignment vertical="center"/>
    </xf>
    <xf numFmtId="0" fontId="0" fillId="0" borderId="89" xfId="0" applyFont="1" applyBorder="1" applyAlignment="1">
      <alignment vertical="center"/>
    </xf>
    <xf numFmtId="1" fontId="0" fillId="0" borderId="71" xfId="0" applyNumberFormat="1" applyFont="1" applyBorder="1" applyAlignment="1">
      <alignment horizontal="center" vertical="center"/>
    </xf>
    <xf numFmtId="164" fontId="0" fillId="0" borderId="93" xfId="0" applyNumberFormat="1" applyFont="1" applyBorder="1" applyAlignment="1">
      <alignment vertical="center"/>
    </xf>
    <xf numFmtId="164" fontId="0" fillId="0" borderId="94" xfId="0" applyNumberFormat="1" applyFont="1" applyBorder="1" applyAlignment="1">
      <alignment vertical="center"/>
    </xf>
    <xf numFmtId="0" fontId="0" fillId="0" borderId="94" xfId="0" applyFont="1" applyBorder="1" applyAlignment="1">
      <alignment vertical="center"/>
    </xf>
    <xf numFmtId="1" fontId="0" fillId="0" borderId="29" xfId="0" applyNumberFormat="1" applyFont="1" applyBorder="1" applyAlignment="1">
      <alignment horizontal="center" vertical="center"/>
    </xf>
    <xf numFmtId="164" fontId="3" fillId="0" borderId="95" xfId="0" applyNumberFormat="1" applyFont="1" applyBorder="1" applyAlignment="1">
      <alignment vertical="center"/>
    </xf>
    <xf numFmtId="4" fontId="3" fillId="0" borderId="96" xfId="0" applyNumberFormat="1" applyFont="1" applyBorder="1" applyAlignment="1">
      <alignment vertical="center"/>
    </xf>
    <xf numFmtId="0" fontId="0" fillId="0" borderId="96" xfId="0" applyFont="1" applyBorder="1" applyAlignment="1">
      <alignment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87" xfId="0" applyNumberFormat="1" applyFont="1" applyBorder="1" applyAlignment="1">
      <alignment vertical="center"/>
    </xf>
    <xf numFmtId="1" fontId="0" fillId="0" borderId="97" xfId="0" applyNumberFormat="1" applyFont="1" applyBorder="1" applyAlignment="1">
      <alignment horizontal="center" vertical="center"/>
    </xf>
    <xf numFmtId="164" fontId="0" fillId="0" borderId="98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0" borderId="84" xfId="0" applyNumberFormat="1" applyFont="1" applyBorder="1" applyAlignment="1">
      <alignment vertical="center"/>
    </xf>
    <xf numFmtId="164" fontId="0" fillId="0" borderId="75" xfId="0" applyNumberFormat="1" applyFont="1" applyBorder="1" applyAlignment="1">
      <alignment vertical="center"/>
    </xf>
    <xf numFmtId="0" fontId="0" fillId="0" borderId="75" xfId="0" applyFont="1" applyBorder="1" applyAlignment="1">
      <alignment vertical="center"/>
    </xf>
    <xf numFmtId="1" fontId="0" fillId="0" borderId="79" xfId="0" applyNumberFormat="1" applyFont="1" applyBorder="1" applyAlignment="1">
      <alignment horizontal="center" vertical="center"/>
    </xf>
    <xf numFmtId="1" fontId="0" fillId="0" borderId="35" xfId="0" applyNumberFormat="1" applyFont="1" applyBorder="1" applyAlignment="1">
      <alignment horizontal="center" vertical="center"/>
    </xf>
    <xf numFmtId="164" fontId="3" fillId="0" borderId="91" xfId="0" applyNumberFormat="1" applyFont="1" applyBorder="1" applyAlignment="1">
      <alignment vertical="center"/>
    </xf>
    <xf numFmtId="9" fontId="3" fillId="12" borderId="99" xfId="0" applyNumberFormat="1" applyFont="1" applyFill="1" applyBorder="1" applyAlignment="1">
      <alignment vertical="center"/>
    </xf>
    <xf numFmtId="0" fontId="15" fillId="15" borderId="8" xfId="0" applyFont="1" applyFill="1" applyBorder="1" applyAlignment="1">
      <alignment horizontal="center" vertical="center"/>
    </xf>
    <xf numFmtId="0" fontId="15" fillId="15" borderId="24" xfId="0" applyFont="1" applyFill="1" applyBorder="1" applyAlignment="1">
      <alignment horizontal="center" vertical="center"/>
    </xf>
    <xf numFmtId="164" fontId="15" fillId="15" borderId="24" xfId="0" applyNumberFormat="1" applyFont="1" applyFill="1" applyBorder="1" applyAlignment="1">
      <alignment horizontal="center" vertical="center"/>
    </xf>
    <xf numFmtId="164" fontId="15" fillId="15" borderId="35" xfId="0" applyNumberFormat="1" applyFont="1" applyFill="1" applyBorder="1" applyAlignment="1">
      <alignment horizontal="center" vertical="center"/>
    </xf>
    <xf numFmtId="164" fontId="29" fillId="0" borderId="0" xfId="0" applyNumberFormat="1" applyFont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164" fontId="0" fillId="12" borderId="17" xfId="0" applyNumberFormat="1" applyFont="1" applyFill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0" fillId="16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4" fontId="3" fillId="15" borderId="99" xfId="0" applyNumberFormat="1" applyFont="1" applyFill="1" applyBorder="1" applyAlignment="1">
      <alignment horizontal="center" vertical="center"/>
    </xf>
    <xf numFmtId="1" fontId="0" fillId="1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66" fontId="0" fillId="0" borderId="1" xfId="0" applyNumberFormat="1" applyFont="1" applyBorder="1" applyAlignment="1">
      <alignment horizontal="center" vertical="center"/>
    </xf>
    <xf numFmtId="164" fontId="0" fillId="12" borderId="0" xfId="0" applyNumberFormat="1" applyFont="1" applyFill="1" applyBorder="1" applyAlignment="1">
      <alignment vertical="center"/>
    </xf>
    <xf numFmtId="0" fontId="0" fillId="12" borderId="0" xfId="0" applyFont="1" applyFill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0" fontId="0" fillId="0" borderId="17" xfId="0" applyFont="1" applyBorder="1" applyAlignment="1">
      <alignment horizontal="left" vertical="top" wrapText="1"/>
    </xf>
    <xf numFmtId="164" fontId="3" fillId="15" borderId="45" xfId="0" applyNumberFormat="1" applyFont="1" applyFill="1" applyBorder="1" applyAlignment="1">
      <alignment vertical="center"/>
    </xf>
    <xf numFmtId="164" fontId="0" fillId="1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" fillId="0" borderId="9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64" fontId="3" fillId="0" borderId="99" xfId="0" applyNumberFormat="1" applyFont="1" applyBorder="1" applyAlignment="1">
      <alignment vertical="center"/>
    </xf>
    <xf numFmtId="0" fontId="15" fillId="15" borderId="2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4" fontId="0" fillId="1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164" fontId="0" fillId="0" borderId="34" xfId="0" applyNumberFormat="1" applyFont="1" applyBorder="1" applyAlignment="1">
      <alignment vertical="center"/>
    </xf>
    <xf numFmtId="164" fontId="0" fillId="0" borderId="99" xfId="0" applyNumberFormat="1" applyFont="1" applyBorder="1" applyAlignment="1">
      <alignment vertical="center"/>
    </xf>
    <xf numFmtId="164" fontId="3" fillId="15" borderId="45" xfId="0" applyNumberFormat="1" applyFont="1" applyFill="1" applyBorder="1" applyAlignment="1">
      <alignment horizontal="center" vertical="center"/>
    </xf>
    <xf numFmtId="0" fontId="3" fillId="0" borderId="100" xfId="0" applyFont="1" applyBorder="1" applyAlignment="1">
      <alignment vertical="center"/>
    </xf>
    <xf numFmtId="0" fontId="3" fillId="0" borderId="100" xfId="0" applyFont="1" applyBorder="1" applyAlignment="1">
      <alignment horizontal="center" vertical="center"/>
    </xf>
    <xf numFmtId="164" fontId="3" fillId="0" borderId="10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3" fontId="0" fillId="1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0" fillId="12" borderId="1" xfId="0" applyNumberFormat="1" applyFont="1" applyFill="1" applyBorder="1" applyAlignment="1">
      <alignment vertical="center"/>
    </xf>
    <xf numFmtId="4" fontId="0" fillId="12" borderId="17" xfId="0" applyNumberFormat="1" applyFont="1" applyFill="1" applyBorder="1" applyAlignment="1">
      <alignment horizontal="center" vertical="center"/>
    </xf>
    <xf numFmtId="170" fontId="0" fillId="12" borderId="17" xfId="0" applyNumberFormat="1" applyFont="1" applyFill="1" applyBorder="1" applyAlignment="1">
      <alignment horizontal="center" vertical="center"/>
    </xf>
    <xf numFmtId="170" fontId="0" fillId="0" borderId="17" xfId="0" applyNumberFormat="1" applyFont="1" applyBorder="1" applyAlignment="1">
      <alignment horizontal="center" vertical="center"/>
    </xf>
    <xf numFmtId="164" fontId="15" fillId="15" borderId="24" xfId="0" applyNumberFormat="1" applyFont="1" applyFill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 vertical="center"/>
    </xf>
    <xf numFmtId="0" fontId="0" fillId="12" borderId="17" xfId="0" applyFont="1" applyFill="1" applyBorder="1" applyAlignment="1">
      <alignment horizontal="center" vertical="center"/>
    </xf>
    <xf numFmtId="3" fontId="0" fillId="12" borderId="1" xfId="0" applyNumberFormat="1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164" fontId="15" fillId="15" borderId="6" xfId="0" applyNumberFormat="1" applyFont="1" applyFill="1" applyBorder="1" applyAlignment="1">
      <alignment horizontal="center" vertical="center"/>
    </xf>
    <xf numFmtId="164" fontId="15" fillId="15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3" fillId="15" borderId="8" xfId="0" applyFont="1" applyFill="1" applyBorder="1" applyAlignment="1">
      <alignment horizontal="center"/>
    </xf>
    <xf numFmtId="0" fontId="3" fillId="15" borderId="24" xfId="0" applyFont="1" applyFill="1" applyBorder="1" applyAlignment="1">
      <alignment horizontal="center"/>
    </xf>
    <xf numFmtId="164" fontId="3" fillId="15" borderId="24" xfId="0" applyNumberFormat="1" applyFont="1" applyFill="1" applyBorder="1" applyAlignment="1">
      <alignment horizontal="center"/>
    </xf>
    <xf numFmtId="164" fontId="3" fillId="15" borderId="3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12" borderId="17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right"/>
    </xf>
    <xf numFmtId="164" fontId="0" fillId="0" borderId="17" xfId="0" applyNumberFormat="1" applyFont="1" applyBorder="1" applyAlignment="1">
      <alignment horizontal="right"/>
    </xf>
    <xf numFmtId="164" fontId="3" fillId="15" borderId="99" xfId="0" applyNumberFormat="1" applyFont="1" applyFill="1" applyBorder="1" applyAlignment="1">
      <alignment horizontal="center"/>
    </xf>
    <xf numFmtId="0" fontId="3" fillId="0" borderId="91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164" fontId="0" fillId="0" borderId="34" xfId="0" applyNumberFormat="1" applyFont="1" applyBorder="1" applyAlignment="1">
      <alignment horizontal="left"/>
    </xf>
    <xf numFmtId="164" fontId="0" fillId="0" borderId="99" xfId="0" applyNumberFormat="1" applyFont="1" applyBorder="1" applyAlignment="1">
      <alignment horizontal="left"/>
    </xf>
    <xf numFmtId="164" fontId="3" fillId="15" borderId="45" xfId="0" applyNumberFormat="1" applyFont="1" applyFill="1" applyBorder="1" applyAlignment="1">
      <alignment horizontal="center"/>
    </xf>
    <xf numFmtId="0" fontId="0" fillId="7" borderId="17" xfId="0" applyFont="1" applyFill="1" applyBorder="1" applyAlignment="1">
      <alignment vertical="center"/>
    </xf>
    <xf numFmtId="0" fontId="0" fillId="7" borderId="17" xfId="0" applyFont="1" applyFill="1" applyBorder="1" applyAlignment="1">
      <alignment horizontal="center" vertical="center"/>
    </xf>
    <xf numFmtId="164" fontId="0" fillId="16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1" fillId="1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/>
    <xf numFmtId="0" fontId="0" fillId="0" borderId="1" xfId="0" applyFont="1" applyBorder="1" applyAlignment="1"/>
    <xf numFmtId="0" fontId="3" fillId="0" borderId="1" xfId="0" applyFont="1" applyBorder="1" applyAlignment="1"/>
    <xf numFmtId="0" fontId="0" fillId="0" borderId="4" xfId="0" applyFont="1" applyBorder="1" applyAlignment="1"/>
    <xf numFmtId="0" fontId="0" fillId="0" borderId="64" xfId="0" applyFont="1" applyBorder="1" applyAlignment="1"/>
    <xf numFmtId="164" fontId="0" fillId="0" borderId="13" xfId="0" applyNumberFormat="1" applyFont="1" applyBorder="1" applyAlignment="1"/>
    <xf numFmtId="0" fontId="3" fillId="0" borderId="91" xfId="0" applyFont="1" applyBorder="1" applyAlignment="1"/>
    <xf numFmtId="0" fontId="0" fillId="0" borderId="34" xfId="0" applyFont="1" applyBorder="1" applyAlignment="1"/>
    <xf numFmtId="164" fontId="0" fillId="0" borderId="34" xfId="0" applyNumberFormat="1" applyFont="1" applyBorder="1" applyAlignment="1"/>
    <xf numFmtId="164" fontId="0" fillId="0" borderId="99" xfId="0" applyNumberFormat="1" applyFont="1" applyBorder="1" applyAlignment="1"/>
    <xf numFmtId="2" fontId="0" fillId="12" borderId="1" xfId="0" applyNumberFormat="1" applyFont="1" applyFill="1" applyBorder="1" applyAlignment="1">
      <alignment horizontal="center" vertical="center"/>
    </xf>
    <xf numFmtId="164" fontId="3" fillId="0" borderId="91" xfId="0" applyNumberFormat="1" applyFont="1" applyBorder="1" applyAlignment="1">
      <alignment horizontal="left" vertical="center" wrapText="1"/>
    </xf>
    <xf numFmtId="0" fontId="3" fillId="0" borderId="9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164" fontId="3" fillId="12" borderId="64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164" fontId="3" fillId="0" borderId="99" xfId="0" applyNumberFormat="1" applyFont="1" applyBorder="1" applyAlignment="1">
      <alignment horizontal="right" vertical="center"/>
    </xf>
    <xf numFmtId="4" fontId="3" fillId="15" borderId="45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left"/>
    </xf>
    <xf numFmtId="0" fontId="20" fillId="15" borderId="8" xfId="0" applyFont="1" applyFill="1" applyBorder="1" applyAlignment="1">
      <alignment horizontal="center"/>
    </xf>
    <xf numFmtId="0" fontId="20" fillId="15" borderId="24" xfId="0" applyFont="1" applyFill="1" applyBorder="1" applyAlignment="1">
      <alignment horizontal="center"/>
    </xf>
    <xf numFmtId="164" fontId="20" fillId="15" borderId="24" xfId="0" applyNumberFormat="1" applyFont="1" applyFill="1" applyBorder="1" applyAlignment="1">
      <alignment horizontal="center"/>
    </xf>
    <xf numFmtId="164" fontId="20" fillId="15" borderId="35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12" borderId="17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20" fillId="15" borderId="99" xfId="0" applyNumberFormat="1" applyFont="1" applyFill="1" applyBorder="1" applyAlignment="1">
      <alignment horizontal="center"/>
    </xf>
    <xf numFmtId="0" fontId="20" fillId="0" borderId="9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164" fontId="4" fillId="0" borderId="34" xfId="0" applyNumberFormat="1" applyFont="1" applyBorder="1" applyAlignment="1">
      <alignment horizontal="left"/>
    </xf>
    <xf numFmtId="164" fontId="4" fillId="0" borderId="99" xfId="0" applyNumberFormat="1" applyFont="1" applyBorder="1" applyAlignment="1">
      <alignment horizontal="left"/>
    </xf>
    <xf numFmtId="164" fontId="20" fillId="15" borderId="45" xfId="0" applyNumberFormat="1" applyFont="1" applyFill="1" applyBorder="1" applyAlignment="1">
      <alignment horizontal="center"/>
    </xf>
    <xf numFmtId="164" fontId="3" fillId="15" borderId="45" xfId="0" applyNumberFormat="1" applyFont="1" applyFill="1" applyBorder="1" applyAlignment="1">
      <alignment horizontal="right" vertical="center"/>
    </xf>
    <xf numFmtId="165" fontId="0" fillId="0" borderId="2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4" fillId="0" borderId="0" xfId="0" applyNumberFormat="1" applyFont="1"/>
    <xf numFmtId="164" fontId="3" fillId="12" borderId="64" xfId="0" applyNumberFormat="1" applyFont="1" applyFill="1" applyBorder="1" applyAlignment="1">
      <alignment vertical="center"/>
    </xf>
    <xf numFmtId="10" fontId="3" fillId="0" borderId="35" xfId="0" applyNumberFormat="1" applyFont="1" applyBorder="1" applyAlignment="1">
      <alignment vertical="center"/>
    </xf>
    <xf numFmtId="164" fontId="3" fillId="0" borderId="91" xfId="0" applyNumberFormat="1" applyFont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6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0" fontId="4" fillId="0" borderId="1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10" fontId="20" fillId="0" borderId="12" xfId="0" applyNumberFormat="1" applyFont="1" applyBorder="1" applyAlignment="1">
      <alignment horizontal="right" vertical="center"/>
    </xf>
    <xf numFmtId="0" fontId="4" fillId="17" borderId="66" xfId="0" applyFont="1" applyFill="1" applyBorder="1" applyAlignment="1">
      <alignment horizontal="left" vertical="center"/>
    </xf>
    <xf numFmtId="0" fontId="20" fillId="17" borderId="1" xfId="0" applyFont="1" applyFill="1" applyBorder="1" applyAlignment="1">
      <alignment horizontal="left" vertical="center"/>
    </xf>
    <xf numFmtId="10" fontId="20" fillId="17" borderId="1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0" fontId="0" fillId="0" borderId="0" xfId="0" applyNumberFormat="1" applyFont="1"/>
    <xf numFmtId="9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18" borderId="68" xfId="0" applyFont="1" applyFill="1" applyBorder="1" applyAlignment="1">
      <alignment horizontal="left" vertical="center"/>
    </xf>
    <xf numFmtId="0" fontId="20" fillId="18" borderId="85" xfId="0" applyFont="1" applyFill="1" applyBorder="1" applyAlignment="1">
      <alignment horizontal="left" vertical="center"/>
    </xf>
    <xf numFmtId="10" fontId="20" fillId="18" borderId="79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10" fontId="20" fillId="0" borderId="0" xfId="0" applyNumberFormat="1" applyFont="1" applyAlignment="1">
      <alignment horizontal="right" vertical="center"/>
    </xf>
    <xf numFmtId="0" fontId="0" fillId="7" borderId="0" xfId="0" applyFont="1" applyFill="1" applyBorder="1" applyAlignment="1">
      <alignment horizontal="left" vertical="center"/>
    </xf>
    <xf numFmtId="10" fontId="4" fillId="0" borderId="0" xfId="0" applyNumberFormat="1" applyFont="1" applyAlignment="1">
      <alignment horizontal="right" vertical="center"/>
    </xf>
    <xf numFmtId="0" fontId="4" fillId="7" borderId="0" xfId="0" applyFont="1" applyFill="1" applyBorder="1" applyAlignment="1">
      <alignment horizontal="left" vertical="center"/>
    </xf>
    <xf numFmtId="0" fontId="6" fillId="0" borderId="0" xfId="0" applyFont="1"/>
    <xf numFmtId="0" fontId="20" fillId="0" borderId="83" xfId="0" applyFont="1" applyBorder="1"/>
    <xf numFmtId="0" fontId="4" fillId="0" borderId="90" xfId="0" applyFont="1" applyBorder="1"/>
    <xf numFmtId="0" fontId="20" fillId="0" borderId="32" xfId="0" applyFont="1" applyBorder="1"/>
    <xf numFmtId="166" fontId="20" fillId="12" borderId="12" xfId="0" applyNumberFormat="1" applyFont="1" applyFill="1" applyBorder="1"/>
    <xf numFmtId="0" fontId="20" fillId="0" borderId="66" xfId="0" applyFont="1" applyBorder="1"/>
    <xf numFmtId="0" fontId="4" fillId="0" borderId="66" xfId="0" applyFont="1" applyBorder="1"/>
    <xf numFmtId="0" fontId="4" fillId="12" borderId="12" xfId="0" applyFont="1" applyFill="1" applyBorder="1"/>
    <xf numFmtId="0" fontId="4" fillId="0" borderId="32" xfId="0" applyFont="1" applyBorder="1"/>
    <xf numFmtId="0" fontId="4" fillId="12" borderId="97" xfId="0" applyFont="1" applyFill="1" applyBorder="1"/>
    <xf numFmtId="0" fontId="4" fillId="0" borderId="98" xfId="0" applyFont="1" applyBorder="1"/>
    <xf numFmtId="0" fontId="4" fillId="0" borderId="101" xfId="0" applyFont="1" applyBorder="1"/>
    <xf numFmtId="166" fontId="4" fillId="12" borderId="29" xfId="0" applyNumberFormat="1" applyFont="1" applyFill="1" applyBorder="1"/>
    <xf numFmtId="166" fontId="4" fillId="12" borderId="12" xfId="0" applyNumberFormat="1" applyFont="1" applyFill="1" applyBorder="1"/>
    <xf numFmtId="166" fontId="4" fillId="0" borderId="12" xfId="0" applyNumberFormat="1" applyFont="1" applyBorder="1"/>
    <xf numFmtId="0" fontId="4" fillId="0" borderId="87" xfId="0" applyFont="1" applyBorder="1"/>
    <xf numFmtId="0" fontId="4" fillId="0" borderId="46" xfId="0" applyFont="1" applyBorder="1"/>
    <xf numFmtId="166" fontId="20" fillId="0" borderId="97" xfId="0" applyNumberFormat="1" applyFont="1" applyBorder="1"/>
    <xf numFmtId="10" fontId="20" fillId="0" borderId="12" xfId="0" applyNumberFormat="1" applyFont="1" applyBorder="1"/>
    <xf numFmtId="173" fontId="20" fillId="0" borderId="12" xfId="0" applyNumberFormat="1" applyFont="1" applyBorder="1"/>
    <xf numFmtId="0" fontId="20" fillId="0" borderId="12" xfId="0" applyFont="1" applyBorder="1"/>
    <xf numFmtId="0" fontId="20" fillId="0" borderId="97" xfId="0" applyFont="1" applyBorder="1"/>
    <xf numFmtId="9" fontId="20" fillId="0" borderId="12" xfId="0" applyNumberFormat="1" applyFont="1" applyBorder="1"/>
    <xf numFmtId="0" fontId="20" fillId="0" borderId="95" xfId="0" applyFont="1" applyBorder="1"/>
    <xf numFmtId="9" fontId="20" fillId="0" borderId="23" xfId="0" applyNumberFormat="1" applyFont="1" applyBorder="1"/>
    <xf numFmtId="0" fontId="4" fillId="0" borderId="0" xfId="0" applyFont="1"/>
    <xf numFmtId="0" fontId="1" fillId="0" borderId="8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0" fillId="0" borderId="87" xfId="0" applyFont="1" applyBorder="1" applyAlignment="1">
      <alignment horizontal="left" vertical="center"/>
    </xf>
    <xf numFmtId="9" fontId="4" fillId="0" borderId="66" xfId="0" applyNumberFormat="1" applyFont="1" applyBorder="1"/>
    <xf numFmtId="9" fontId="4" fillId="0" borderId="1" xfId="0" applyNumberFormat="1" applyFont="1" applyBorder="1" applyAlignment="1">
      <alignment horizontal="center"/>
    </xf>
    <xf numFmtId="9" fontId="4" fillId="0" borderId="12" xfId="0" applyNumberFormat="1" applyFont="1" applyBorder="1"/>
    <xf numFmtId="0" fontId="4" fillId="0" borderId="5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0" fontId="4" fillId="12" borderId="71" xfId="0" applyNumberFormat="1" applyFont="1" applyFill="1" applyBorder="1" applyAlignment="1">
      <alignment horizontal="center" vertical="center"/>
    </xf>
    <xf numFmtId="10" fontId="4" fillId="0" borderId="66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10" fontId="4" fillId="0" borderId="12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10" fontId="4" fillId="12" borderId="12" xfId="0" applyNumberFormat="1" applyFont="1" applyFill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10" fontId="4" fillId="12" borderId="1" xfId="0" applyNumberFormat="1" applyFont="1" applyFill="1" applyBorder="1" applyAlignment="1">
      <alignment horizontal="center"/>
    </xf>
    <xf numFmtId="10" fontId="4" fillId="0" borderId="12" xfId="0" applyNumberFormat="1" applyFont="1" applyBorder="1"/>
    <xf numFmtId="0" fontId="4" fillId="0" borderId="66" xfId="0" applyFont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0" fontId="4" fillId="0" borderId="12" xfId="0" applyFont="1" applyBorder="1"/>
    <xf numFmtId="0" fontId="4" fillId="0" borderId="68" xfId="0" applyFont="1" applyBorder="1" applyAlignment="1">
      <alignment horizontal="left" vertical="center"/>
    </xf>
    <xf numFmtId="10" fontId="4" fillId="12" borderId="79" xfId="0" applyNumberFormat="1" applyFont="1" applyFill="1" applyBorder="1" applyAlignment="1">
      <alignment horizontal="center" vertical="center"/>
    </xf>
    <xf numFmtId="0" fontId="4" fillId="0" borderId="102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10" fontId="4" fillId="0" borderId="104" xfId="0" applyNumberFormat="1" applyFont="1" applyBorder="1" applyAlignment="1">
      <alignment vertical="center"/>
    </xf>
    <xf numFmtId="0" fontId="4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20" fillId="17" borderId="91" xfId="0" applyFont="1" applyFill="1" applyBorder="1" applyAlignment="1">
      <alignment vertical="center" wrapText="1"/>
    </xf>
    <xf numFmtId="0" fontId="4" fillId="17" borderId="34" xfId="0" applyFont="1" applyFill="1" applyBorder="1" applyAlignment="1">
      <alignment vertical="center"/>
    </xf>
    <xf numFmtId="10" fontId="20" fillId="17" borderId="99" xfId="0" applyNumberFormat="1" applyFont="1" applyFill="1" applyBorder="1" applyAlignment="1">
      <alignment horizontal="center" vertical="center" wrapText="1"/>
    </xf>
    <xf numFmtId="10" fontId="4" fillId="0" borderId="68" xfId="0" applyNumberFormat="1" applyFont="1" applyBorder="1" applyAlignment="1">
      <alignment horizontal="right"/>
    </xf>
    <xf numFmtId="10" fontId="4" fillId="0" borderId="85" xfId="0" applyNumberFormat="1" applyFont="1" applyBorder="1" applyAlignment="1">
      <alignment horizontal="right"/>
    </xf>
    <xf numFmtId="10" fontId="4" fillId="0" borderId="79" xfId="0" applyNumberFormat="1" applyFont="1" applyBorder="1" applyAlignment="1">
      <alignment horizontal="right"/>
    </xf>
    <xf numFmtId="0" fontId="20" fillId="0" borderId="66" xfId="0" applyFont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4" fillId="20" borderId="1" xfId="0" applyNumberFormat="1" applyFont="1" applyFill="1" applyBorder="1" applyAlignment="1">
      <alignment horizontal="right" vertical="center"/>
    </xf>
    <xf numFmtId="0" fontId="4" fillId="0" borderId="68" xfId="0" applyFont="1" applyBorder="1" applyAlignment="1">
      <alignment horizontal="center" vertical="center"/>
    </xf>
    <xf numFmtId="2" fontId="4" fillId="20" borderId="85" xfId="0" applyNumberFormat="1" applyFont="1" applyFill="1" applyBorder="1" applyAlignment="1">
      <alignment horizontal="right" vertical="center"/>
    </xf>
    <xf numFmtId="0" fontId="27" fillId="19" borderId="31" xfId="0" applyFont="1" applyFill="1" applyBorder="1" applyAlignment="1">
      <alignment horizontal="center"/>
    </xf>
    <xf numFmtId="0" fontId="0" fillId="0" borderId="44" xfId="0" applyFont="1" applyBorder="1"/>
    <xf numFmtId="0" fontId="26" fillId="0" borderId="44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5" fontId="10" fillId="7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wrapText="1"/>
    </xf>
    <xf numFmtId="0" fontId="9" fillId="9" borderId="3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center" wrapText="1"/>
    </xf>
    <xf numFmtId="0" fontId="9" fillId="9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wrapText="1"/>
    </xf>
    <xf numFmtId="0" fontId="10" fillId="0" borderId="47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wrapText="1"/>
    </xf>
    <xf numFmtId="0" fontId="10" fillId="0" borderId="52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9" fillId="10" borderId="59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60" xfId="0" applyFont="1" applyFill="1" applyBorder="1" applyAlignment="1">
      <alignment horizontal="center" vertical="center" wrapText="1"/>
    </xf>
    <xf numFmtId="0" fontId="9" fillId="10" borderId="6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69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/>
    </xf>
    <xf numFmtId="0" fontId="9" fillId="10" borderId="71" xfId="0" applyFont="1" applyFill="1" applyBorder="1" applyAlignment="1">
      <alignment horizontal="center" vertical="center" wrapText="1"/>
    </xf>
    <xf numFmtId="0" fontId="9" fillId="11" borderId="79" xfId="0" applyFont="1" applyFill="1" applyBorder="1" applyAlignment="1">
      <alignment horizontal="center" vertical="center" wrapText="1"/>
    </xf>
    <xf numFmtId="0" fontId="16" fillId="10" borderId="71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11" borderId="43" xfId="0" applyFont="1" applyFill="1" applyBorder="1" applyAlignment="1">
      <alignment horizontal="left" vertical="center" wrapText="1"/>
    </xf>
    <xf numFmtId="0" fontId="10" fillId="11" borderId="5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7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7" fontId="21" fillId="7" borderId="1" xfId="0" applyNumberFormat="1" applyFont="1" applyFill="1" applyBorder="1" applyAlignment="1">
      <alignment horizontal="center" vertical="center"/>
    </xf>
    <xf numFmtId="10" fontId="21" fillId="7" borderId="1" xfId="0" applyNumberFormat="1" applyFont="1" applyFill="1" applyBorder="1" applyAlignment="1">
      <alignment horizontal="center" vertical="center"/>
    </xf>
    <xf numFmtId="167" fontId="21" fillId="13" borderId="1" xfId="0" applyNumberFormat="1" applyFont="1" applyFill="1" applyBorder="1" applyAlignment="1">
      <alignment horizontal="center" vertical="center"/>
    </xf>
    <xf numFmtId="0" fontId="27" fillId="14" borderId="31" xfId="0" applyFont="1" applyFill="1" applyBorder="1" applyAlignment="1">
      <alignment horizontal="center" vertical="center"/>
    </xf>
    <xf numFmtId="0" fontId="20" fillId="14" borderId="86" xfId="0" applyFont="1" applyFill="1" applyBorder="1" applyAlignment="1">
      <alignment horizontal="center" vertical="center"/>
    </xf>
    <xf numFmtId="164" fontId="1" fillId="14" borderId="45" xfId="0" applyNumberFormat="1" applyFont="1" applyFill="1" applyBorder="1" applyAlignment="1">
      <alignment horizontal="center" vertical="center"/>
    </xf>
    <xf numFmtId="164" fontId="3" fillId="0" borderId="83" xfId="0" applyNumberFormat="1" applyFont="1" applyBorder="1" applyAlignment="1">
      <alignment horizontal="left" vertical="center"/>
    </xf>
    <xf numFmtId="164" fontId="0" fillId="0" borderId="66" xfId="0" applyNumberFormat="1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9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27" fillId="14" borderId="61" xfId="0" applyFont="1" applyFill="1" applyBorder="1" applyAlignment="1">
      <alignment horizontal="center" vertical="center"/>
    </xf>
    <xf numFmtId="0" fontId="27" fillId="19" borderId="61" xfId="0" applyFont="1" applyFill="1" applyBorder="1" applyAlignment="1">
      <alignment horizontal="center"/>
    </xf>
    <xf numFmtId="0" fontId="1" fillId="19" borderId="31" xfId="0" applyFont="1" applyFill="1" applyBorder="1" applyAlignment="1">
      <alignment horizontal="center" vertical="center"/>
    </xf>
    <xf numFmtId="9" fontId="20" fillId="0" borderId="61" xfId="0" applyNumberFormat="1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1" fillId="19" borderId="9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E6E0EC"/>
      <rgbColor rgb="FF993366"/>
      <rgbColor rgb="FFFFFFCC"/>
      <rgbColor rgb="FFBCE4E5"/>
      <rgbColor rgb="FF660066"/>
      <rgbColor rgb="FFFF8080"/>
      <rgbColor rgb="FF0070C0"/>
      <rgbColor rgb="FFC6D9F1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EEECE1"/>
      <rgbColor rgb="FFEBF1DE"/>
      <rgbColor rgb="FFFFFBCC"/>
      <rgbColor rgb="FFBFBFBF"/>
      <rgbColor rgb="FFDDD9C3"/>
      <rgbColor rgb="FFD9D9D9"/>
      <rgbColor rgb="FFFAD3B3"/>
      <rgbColor rgb="FF3366FF"/>
      <rgbColor rgb="FF33CCCC"/>
      <rgbColor rgb="FFC3D69B"/>
      <rgbColor rgb="FFFDEADA"/>
      <rgbColor rgb="FFFF9900"/>
      <rgbColor rgb="FFFF6600"/>
      <rgbColor rgb="FF666699"/>
      <rgbColor rgb="FFA6A6A6"/>
      <rgbColor rgb="FF003366"/>
      <rgbColor rgb="FF339966"/>
      <rgbColor rgb="FF111111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617220</xdr:colOff>
      <xdr:row>40</xdr:row>
      <xdr:rowOff>152400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4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3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2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1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502920</xdr:colOff>
      <xdr:row>38</xdr:row>
      <xdr:rowOff>60960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2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1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137160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53340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2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579120</xdr:colOff>
      <xdr:row>38</xdr:row>
      <xdr:rowOff>182880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3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4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4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4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3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3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3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3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3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2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2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2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2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1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1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1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1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1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0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0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0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0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20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9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9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9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9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9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8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8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8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480060</xdr:colOff>
      <xdr:row>39</xdr:row>
      <xdr:rowOff>144780</xdr:rowOff>
    </xdr:to>
    <xdr:sp macro="" textlink="">
      <xdr:nvSpPr>
        <xdr:cNvPr id="614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8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8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7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7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7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7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68580</xdr:colOff>
      <xdr:row>47</xdr:row>
      <xdr:rowOff>22860</xdr:rowOff>
    </xdr:to>
    <xdr:sp macro="" textlink="">
      <xdr:nvSpPr>
        <xdr:cNvPr id="717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4</xdr:row>
      <xdr:rowOff>19080</xdr:rowOff>
    </xdr:from>
    <xdr:to>
      <xdr:col>0</xdr:col>
      <xdr:colOff>1399680</xdr:colOff>
      <xdr:row>6</xdr:row>
      <xdr:rowOff>47520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666720"/>
          <a:ext cx="1275840" cy="352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76320</xdr:colOff>
      <xdr:row>7</xdr:row>
      <xdr:rowOff>0</xdr:rowOff>
    </xdr:from>
    <xdr:to>
      <xdr:col>0</xdr:col>
      <xdr:colOff>2104920</xdr:colOff>
      <xdr:row>9</xdr:row>
      <xdr:rowOff>37440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1133280"/>
          <a:ext cx="2028600" cy="361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precos.petrobras.com.br/w/gasolina/rs" TargetMode="External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08"/>
  <sheetViews>
    <sheetView topLeftCell="E58" zoomScaleNormal="100" workbookViewId="0">
      <selection activeCell="N77" sqref="N77"/>
    </sheetView>
  </sheetViews>
  <sheetFormatPr defaultRowHeight="13.2" x14ac:dyDescent="0.25"/>
  <cols>
    <col min="1" max="1" width="5.6640625" customWidth="1"/>
    <col min="2" max="2" width="43.33203125" customWidth="1"/>
    <col min="3" max="3" width="16.6640625" customWidth="1"/>
    <col min="4" max="5" width="18.21875" customWidth="1"/>
    <col min="6" max="6" width="19.21875" customWidth="1"/>
    <col min="7" max="7" width="24.21875" customWidth="1"/>
    <col min="8" max="8" width="14.6640625" customWidth="1"/>
    <col min="9" max="9" width="29.6640625" customWidth="1"/>
    <col min="10" max="10" width="14.33203125" customWidth="1"/>
    <col min="11" max="11" width="12.21875" customWidth="1"/>
    <col min="12" max="13" width="14.21875" customWidth="1"/>
    <col min="14" max="14" width="14.109375" customWidth="1"/>
    <col min="15" max="15" width="12.77734375" customWidth="1"/>
    <col min="16" max="16" width="13.77734375" customWidth="1"/>
    <col min="17" max="17" width="13.109375" customWidth="1"/>
    <col min="18" max="18" width="15" customWidth="1"/>
    <col min="19" max="19" width="14.21875" customWidth="1"/>
    <col min="20" max="20" width="12.6640625" customWidth="1"/>
    <col min="21" max="21" width="12.21875" customWidth="1"/>
    <col min="22" max="22" width="12.33203125" customWidth="1"/>
    <col min="23" max="23" width="16.88671875" customWidth="1"/>
    <col min="24" max="24" width="17" customWidth="1"/>
    <col min="25" max="25" width="15.88671875" customWidth="1"/>
    <col min="26" max="27" width="8.6640625" customWidth="1"/>
    <col min="28" max="1025" width="12.6640625" customWidth="1"/>
  </cols>
  <sheetData>
    <row r="1" spans="1:27" ht="12.75" customHeight="1" x14ac:dyDescent="0.25">
      <c r="A1" s="15"/>
      <c r="B1" s="16"/>
      <c r="C1" s="15"/>
      <c r="D1" s="15"/>
      <c r="E1" s="15"/>
      <c r="F1" s="17"/>
      <c r="G1" s="17"/>
      <c r="H1" s="17"/>
      <c r="I1" s="17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2.75" customHeight="1" x14ac:dyDescent="0.25">
      <c r="A2" s="18" t="s">
        <v>0</v>
      </c>
      <c r="B2" s="16"/>
      <c r="C2" s="15"/>
      <c r="D2" s="15"/>
      <c r="E2" s="15"/>
      <c r="F2" s="17"/>
      <c r="G2" s="17"/>
      <c r="H2" s="17"/>
      <c r="I2" s="1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2.75" customHeight="1" x14ac:dyDescent="0.25">
      <c r="A3" s="15"/>
      <c r="B3" s="16"/>
      <c r="C3" s="15"/>
      <c r="D3" s="15"/>
      <c r="E3" s="15"/>
      <c r="F3" s="17"/>
      <c r="G3" s="17"/>
      <c r="H3" s="17"/>
      <c r="I3" s="17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2.75" customHeight="1" x14ac:dyDescent="0.25">
      <c r="A4" s="19" t="s">
        <v>1</v>
      </c>
      <c r="B4" s="20" t="s">
        <v>2</v>
      </c>
      <c r="C4" s="20" t="s">
        <v>3</v>
      </c>
      <c r="D4" s="20" t="s">
        <v>4</v>
      </c>
      <c r="E4" s="21"/>
      <c r="F4" s="17"/>
      <c r="G4" s="17"/>
      <c r="H4" s="17"/>
      <c r="I4" s="1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2.75" customHeight="1" x14ac:dyDescent="0.25">
      <c r="A5" s="22">
        <v>1</v>
      </c>
      <c r="B5" s="23" t="s">
        <v>5</v>
      </c>
      <c r="C5" s="24" t="s">
        <v>6</v>
      </c>
      <c r="D5" s="25">
        <v>900</v>
      </c>
      <c r="E5" s="21"/>
      <c r="F5" s="17"/>
      <c r="G5" s="17"/>
      <c r="H5" s="17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2.75" customHeight="1" x14ac:dyDescent="0.25">
      <c r="A6" s="22">
        <v>2</v>
      </c>
      <c r="B6" s="23" t="s">
        <v>7</v>
      </c>
      <c r="C6" s="24" t="s">
        <v>6</v>
      </c>
      <c r="D6" s="25">
        <v>5100</v>
      </c>
      <c r="E6" s="21"/>
      <c r="F6" s="17"/>
      <c r="G6" s="17"/>
      <c r="H6" s="17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2.75" customHeight="1" x14ac:dyDescent="0.25">
      <c r="A7" s="22">
        <v>3</v>
      </c>
      <c r="B7" s="23" t="s">
        <v>8</v>
      </c>
      <c r="C7" s="24" t="s">
        <v>6</v>
      </c>
      <c r="D7" s="25">
        <v>761</v>
      </c>
      <c r="E7" s="21"/>
      <c r="F7" s="17"/>
      <c r="G7" s="17"/>
      <c r="H7" s="17"/>
      <c r="I7" s="17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2.75" customHeight="1" x14ac:dyDescent="0.25">
      <c r="A8" s="26">
        <v>4</v>
      </c>
      <c r="B8" s="27" t="s">
        <v>9</v>
      </c>
      <c r="C8" s="28" t="s">
        <v>6</v>
      </c>
      <c r="D8" s="29">
        <v>500</v>
      </c>
      <c r="E8" s="21"/>
      <c r="F8" s="17"/>
      <c r="G8" s="17"/>
      <c r="H8" s="17"/>
      <c r="I8" s="17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2.75" customHeight="1" x14ac:dyDescent="0.25">
      <c r="A9" s="30"/>
      <c r="B9" s="31"/>
      <c r="C9" s="32"/>
      <c r="D9" s="33"/>
      <c r="E9" s="21"/>
      <c r="F9" s="17"/>
      <c r="G9" s="17"/>
      <c r="H9" s="17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2.75" customHeight="1" x14ac:dyDescent="0.25">
      <c r="A10" s="34"/>
      <c r="B10" s="35"/>
      <c r="C10" s="36"/>
      <c r="D10" s="21"/>
      <c r="E10" s="21"/>
      <c r="F10" s="17"/>
      <c r="G10" s="17"/>
      <c r="H10" s="17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2.75" customHeight="1" x14ac:dyDescent="0.25">
      <c r="A11" s="34"/>
      <c r="B11" s="35"/>
      <c r="C11" s="36"/>
      <c r="D11" s="21"/>
      <c r="E11" s="21"/>
      <c r="F11" s="17"/>
      <c r="G11" s="17"/>
      <c r="H11" s="17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75" customHeight="1" x14ac:dyDescent="0.25">
      <c r="A12" s="15"/>
      <c r="B12" s="37" t="s">
        <v>10</v>
      </c>
      <c r="C12" s="15"/>
      <c r="D12" s="15"/>
      <c r="E12" s="15"/>
      <c r="F12" s="17"/>
      <c r="G12" s="17"/>
      <c r="H12" s="17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2.75" customHeight="1" x14ac:dyDescent="0.25">
      <c r="A13" s="15"/>
      <c r="B13" s="37" t="s">
        <v>11</v>
      </c>
      <c r="C13" s="15"/>
      <c r="D13" s="15"/>
      <c r="E13" s="15"/>
      <c r="F13" s="17"/>
      <c r="G13" s="17"/>
      <c r="H13" s="17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2.75" customHeight="1" x14ac:dyDescent="0.25">
      <c r="A14" s="15"/>
      <c r="B14" s="16" t="s">
        <v>12</v>
      </c>
      <c r="C14" s="15"/>
      <c r="D14" s="15"/>
      <c r="E14" s="15"/>
      <c r="F14" s="17"/>
      <c r="G14" s="17"/>
      <c r="H14" s="17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2.75" customHeight="1" x14ac:dyDescent="0.25">
      <c r="A15" s="15"/>
      <c r="B15" s="16"/>
      <c r="C15" s="15"/>
      <c r="D15" s="15"/>
      <c r="E15" s="15"/>
      <c r="F15" s="17"/>
      <c r="G15" s="17"/>
      <c r="H15" s="17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2.75" customHeight="1" x14ac:dyDescent="0.25">
      <c r="A16" s="15"/>
      <c r="B16" s="18" t="s">
        <v>13</v>
      </c>
      <c r="C16" s="15"/>
      <c r="D16" s="15"/>
      <c r="E16" s="15"/>
      <c r="F16" s="17"/>
      <c r="G16" s="17"/>
      <c r="H16" s="17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2.75" customHeight="1" x14ac:dyDescent="0.25">
      <c r="A17" s="15"/>
      <c r="B17" s="18"/>
      <c r="C17" s="15"/>
      <c r="D17" s="15"/>
      <c r="E17" s="15"/>
      <c r="F17" s="17"/>
      <c r="G17" s="17"/>
      <c r="H17" s="17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2.75" customHeight="1" x14ac:dyDescent="0.25">
      <c r="A18" s="15"/>
      <c r="B18" s="19" t="s">
        <v>14</v>
      </c>
      <c r="C18" s="20" t="s">
        <v>15</v>
      </c>
      <c r="D18" s="20" t="s">
        <v>16</v>
      </c>
      <c r="E18" s="20" t="s">
        <v>17</v>
      </c>
      <c r="F18" s="20" t="s">
        <v>18</v>
      </c>
      <c r="G18" s="20" t="s">
        <v>19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5" customHeight="1" x14ac:dyDescent="0.25">
      <c r="A19" s="15"/>
      <c r="B19" s="23" t="s">
        <v>20</v>
      </c>
      <c r="C19" s="22">
        <v>80</v>
      </c>
      <c r="D19" s="38">
        <v>60</v>
      </c>
      <c r="E19" s="38">
        <v>2</v>
      </c>
      <c r="F19" s="22">
        <v>21</v>
      </c>
      <c r="G19" s="22">
        <f t="shared" ref="G19:G28" si="0">SUM(B19:F19)</f>
        <v>163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5" customHeight="1" x14ac:dyDescent="0.25">
      <c r="A20" s="15"/>
      <c r="B20" s="23" t="s">
        <v>21</v>
      </c>
      <c r="C20" s="22">
        <v>4</v>
      </c>
      <c r="D20" s="22">
        <v>1</v>
      </c>
      <c r="E20" s="22"/>
      <c r="F20" s="22" t="s">
        <v>22</v>
      </c>
      <c r="G20" s="22">
        <f t="shared" si="0"/>
        <v>5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5" customHeight="1" x14ac:dyDescent="0.25">
      <c r="A21" s="15"/>
      <c r="B21" s="23" t="s">
        <v>23</v>
      </c>
      <c r="C21" s="22">
        <v>8</v>
      </c>
      <c r="D21" s="22">
        <v>2</v>
      </c>
      <c r="E21" s="22">
        <v>1</v>
      </c>
      <c r="F21" s="22" t="s">
        <v>22</v>
      </c>
      <c r="G21" s="22">
        <f t="shared" si="0"/>
        <v>11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5" customHeight="1" x14ac:dyDescent="0.25">
      <c r="A22" s="15"/>
      <c r="B22" s="23" t="s">
        <v>24</v>
      </c>
      <c r="C22" s="22">
        <v>4</v>
      </c>
      <c r="D22" s="22" t="s">
        <v>22</v>
      </c>
      <c r="E22" s="22"/>
      <c r="F22" s="22" t="s">
        <v>22</v>
      </c>
      <c r="G22" s="22">
        <f t="shared" si="0"/>
        <v>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30.75" customHeight="1" x14ac:dyDescent="0.25">
      <c r="A23" s="15"/>
      <c r="B23" s="23" t="s">
        <v>25</v>
      </c>
      <c r="C23" s="22" t="s">
        <v>22</v>
      </c>
      <c r="D23" s="22" t="s">
        <v>22</v>
      </c>
      <c r="E23" s="22"/>
      <c r="F23" s="22">
        <v>3</v>
      </c>
      <c r="G23" s="22">
        <f t="shared" si="0"/>
        <v>3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2.75" customHeight="1" x14ac:dyDescent="0.25">
      <c r="A24" s="15"/>
      <c r="B24" s="39" t="s">
        <v>26</v>
      </c>
      <c r="C24" s="40">
        <v>8</v>
      </c>
      <c r="D24" s="22" t="s">
        <v>22</v>
      </c>
      <c r="E24" s="22"/>
      <c r="F24" s="22" t="s">
        <v>22</v>
      </c>
      <c r="G24" s="22">
        <f t="shared" si="0"/>
        <v>8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2.75" customHeight="1" x14ac:dyDescent="0.25">
      <c r="A25" s="41"/>
      <c r="B25" s="23" t="s">
        <v>27</v>
      </c>
      <c r="C25" s="14">
        <v>1</v>
      </c>
      <c r="D25" s="14"/>
      <c r="E25" s="14"/>
      <c r="F25" s="14"/>
      <c r="G25" s="22">
        <f t="shared" si="0"/>
        <v>1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21.75" customHeight="1" x14ac:dyDescent="0.25">
      <c r="A26" s="41"/>
      <c r="B26" s="23" t="s">
        <v>28</v>
      </c>
      <c r="C26" s="14">
        <v>1</v>
      </c>
      <c r="D26" s="14"/>
      <c r="E26" s="14"/>
      <c r="F26" s="14"/>
      <c r="G26" s="22">
        <f t="shared" si="0"/>
        <v>1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21" customHeight="1" x14ac:dyDescent="0.25">
      <c r="A27" s="15"/>
      <c r="B27" s="23" t="s">
        <v>29</v>
      </c>
      <c r="C27" s="14">
        <v>1</v>
      </c>
      <c r="D27" s="14"/>
      <c r="E27" s="14"/>
      <c r="F27" s="14"/>
      <c r="G27" s="22">
        <f t="shared" si="0"/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5.75" customHeight="1" x14ac:dyDescent="0.25">
      <c r="A28" s="15"/>
      <c r="B28" s="23" t="s">
        <v>30</v>
      </c>
      <c r="C28" s="14">
        <v>1</v>
      </c>
      <c r="D28" s="14"/>
      <c r="E28" s="14"/>
      <c r="F28" s="14"/>
      <c r="G28" s="22">
        <f t="shared" si="0"/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5.75" customHeight="1" x14ac:dyDescent="0.25">
      <c r="A29" s="15"/>
      <c r="B29" s="42"/>
      <c r="C29" s="17"/>
      <c r="D29" s="17"/>
      <c r="E29" s="17"/>
      <c r="F29" s="43"/>
      <c r="G29" s="43"/>
      <c r="H29" s="42"/>
      <c r="I29" s="1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5.75" customHeight="1" x14ac:dyDescent="0.25">
      <c r="A30" s="44"/>
      <c r="B30" s="13" t="s">
        <v>31</v>
      </c>
      <c r="C30" s="13"/>
      <c r="D30" s="13"/>
      <c r="E30" s="13"/>
      <c r="F30" s="13"/>
      <c r="G30" s="13"/>
      <c r="H30" s="13"/>
      <c r="I30" s="13"/>
      <c r="J30" s="1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15.75" customHeight="1" x14ac:dyDescent="0.25">
      <c r="A31" s="15"/>
      <c r="B31" s="12" t="s">
        <v>32</v>
      </c>
      <c r="C31" s="12"/>
      <c r="D31" s="12"/>
      <c r="E31" s="12"/>
      <c r="F31" s="12"/>
      <c r="G31" s="12"/>
      <c r="H31" s="12"/>
      <c r="I31" s="12"/>
      <c r="J31" s="4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5.75" customHeight="1" x14ac:dyDescent="0.25">
      <c r="A32" s="15"/>
      <c r="B32" s="12"/>
      <c r="C32" s="12"/>
      <c r="D32" s="12"/>
      <c r="E32" s="12"/>
      <c r="F32" s="12"/>
      <c r="G32" s="12"/>
      <c r="H32" s="12"/>
      <c r="I32" s="12"/>
      <c r="J32" s="46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5.75" customHeight="1" x14ac:dyDescent="0.25">
      <c r="A33" s="15"/>
      <c r="B33" s="17"/>
      <c r="C33" s="17"/>
      <c r="D33" s="17"/>
      <c r="E33" s="17"/>
      <c r="F33" s="17"/>
      <c r="G33" s="47"/>
      <c r="H33" s="48"/>
      <c r="I33" s="17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5.75" customHeight="1" x14ac:dyDescent="0.25">
      <c r="A34" s="15"/>
      <c r="B34" s="18" t="s">
        <v>33</v>
      </c>
      <c r="C34" s="17"/>
      <c r="D34" s="17"/>
      <c r="E34" s="17"/>
      <c r="F34" s="17"/>
      <c r="G34" s="47"/>
      <c r="H34" s="48"/>
      <c r="I34" s="17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5.75" customHeight="1" x14ac:dyDescent="0.25">
      <c r="A35" s="15"/>
      <c r="B35" s="17"/>
      <c r="C35" s="17"/>
      <c r="D35" s="17"/>
      <c r="E35" s="17"/>
      <c r="F35" s="17"/>
      <c r="G35" s="47"/>
      <c r="H35" s="48"/>
      <c r="I35" s="17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5.75" customHeight="1" x14ac:dyDescent="0.25">
      <c r="A36" s="15"/>
      <c r="B36" s="43" t="s">
        <v>34</v>
      </c>
      <c r="C36" s="17"/>
      <c r="D36" s="17"/>
      <c r="E36" s="17"/>
      <c r="F36" s="17"/>
      <c r="G36" s="47"/>
      <c r="H36" s="48"/>
      <c r="I36" s="17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5.75" customHeight="1" x14ac:dyDescent="0.25">
      <c r="A37" s="15"/>
      <c r="B37" s="49" t="s">
        <v>35</v>
      </c>
      <c r="C37" s="17"/>
      <c r="D37" s="17"/>
      <c r="E37" s="17"/>
      <c r="F37" s="17"/>
      <c r="G37" s="47"/>
      <c r="H37" s="48"/>
      <c r="I37" s="1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5.75" customHeight="1" x14ac:dyDescent="0.25">
      <c r="A38" s="15"/>
      <c r="B38" s="50" t="s">
        <v>36</v>
      </c>
      <c r="C38" s="17"/>
      <c r="D38" s="17"/>
      <c r="E38" s="17"/>
      <c r="F38" s="17"/>
      <c r="G38" s="47"/>
      <c r="H38" s="48"/>
      <c r="I38" s="17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5.75" customHeight="1" x14ac:dyDescent="0.25">
      <c r="A39" s="15"/>
      <c r="B39" s="49" t="s">
        <v>37</v>
      </c>
      <c r="C39" s="17"/>
      <c r="D39" s="17"/>
      <c r="E39" s="17"/>
      <c r="F39" s="17"/>
      <c r="G39" s="47"/>
      <c r="H39" s="48"/>
      <c r="I39" s="17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5.75" customHeight="1" x14ac:dyDescent="0.25">
      <c r="A40" s="15"/>
      <c r="B40" s="49" t="s">
        <v>38</v>
      </c>
      <c r="C40" s="17"/>
      <c r="D40" s="17"/>
      <c r="E40" s="17"/>
      <c r="F40" s="17"/>
      <c r="G40" s="47"/>
      <c r="H40" s="48"/>
      <c r="I40" s="17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5.75" customHeight="1" x14ac:dyDescent="0.25">
      <c r="A41" s="15"/>
      <c r="B41" s="49" t="s">
        <v>39</v>
      </c>
      <c r="C41" s="17"/>
      <c r="D41" s="17"/>
      <c r="E41" s="17"/>
      <c r="F41" s="17"/>
      <c r="G41" s="47"/>
      <c r="H41" s="48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5.75" customHeight="1" x14ac:dyDescent="0.25">
      <c r="A42" s="15"/>
      <c r="B42" s="49" t="s">
        <v>40</v>
      </c>
      <c r="C42" s="17"/>
      <c r="D42" s="17"/>
      <c r="E42" s="17"/>
      <c r="F42" s="17"/>
      <c r="G42" s="47"/>
      <c r="H42" s="48"/>
      <c r="I42" s="1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5.75" customHeight="1" x14ac:dyDescent="0.25">
      <c r="A43" s="15"/>
      <c r="B43" s="51" t="s">
        <v>41</v>
      </c>
      <c r="C43" s="17"/>
      <c r="D43" s="17"/>
      <c r="E43" s="17"/>
      <c r="F43" s="17"/>
      <c r="G43" s="47"/>
      <c r="H43" s="48"/>
      <c r="I43" s="17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.75" customHeight="1" x14ac:dyDescent="0.25">
      <c r="A44" s="15"/>
      <c r="B44" s="11" t="s">
        <v>42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52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5.75" customHeight="1" x14ac:dyDescent="0.25">
      <c r="A45" s="1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52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.75" customHeight="1" x14ac:dyDescent="0.25">
      <c r="A47" s="15"/>
      <c r="B47" s="43" t="s">
        <v>43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5.75" customHeight="1" x14ac:dyDescent="0.25">
      <c r="A48" s="15"/>
      <c r="B48" s="10" t="s">
        <v>44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52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5.75" customHeight="1" x14ac:dyDescent="0.25">
      <c r="A49" s="15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52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.75" customHeight="1" x14ac:dyDescent="0.25">
      <c r="A50" s="15"/>
      <c r="B50" s="53" t="s">
        <v>45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5.75" customHeight="1" x14ac:dyDescent="0.25">
      <c r="A51" s="15"/>
      <c r="B51" s="54" t="s">
        <v>46</v>
      </c>
      <c r="C51" s="54"/>
      <c r="D51" s="54"/>
      <c r="E51" s="54"/>
      <c r="F51" s="54"/>
      <c r="G51" s="52"/>
      <c r="H51" s="52"/>
      <c r="I51" s="52"/>
      <c r="J51" s="52"/>
      <c r="K51" s="52"/>
      <c r="L51" s="52"/>
      <c r="M51" s="52"/>
      <c r="N51" s="52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5.75" customHeight="1" x14ac:dyDescent="0.25">
      <c r="A52" s="15"/>
      <c r="B52" s="54" t="s">
        <v>47</v>
      </c>
      <c r="C52" s="54"/>
      <c r="D52" s="54"/>
      <c r="E52" s="54"/>
      <c r="F52" s="54"/>
      <c r="G52" s="52"/>
      <c r="H52" s="52"/>
      <c r="I52" s="52"/>
      <c r="J52" s="52"/>
      <c r="K52" s="52"/>
      <c r="L52" s="52"/>
      <c r="M52" s="52"/>
      <c r="N52" s="52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5.75" customHeight="1" x14ac:dyDescent="0.25">
      <c r="A53" s="15"/>
      <c r="B53" s="10" t="s">
        <v>48</v>
      </c>
      <c r="C53" s="10"/>
      <c r="D53" s="10"/>
      <c r="E53" s="10"/>
      <c r="F53" s="10"/>
      <c r="G53" s="52"/>
      <c r="H53" s="52"/>
      <c r="I53" s="52"/>
      <c r="J53" s="52"/>
      <c r="K53" s="52"/>
      <c r="L53" s="52"/>
      <c r="M53" s="52"/>
      <c r="N53" s="52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5.75" customHeight="1" x14ac:dyDescent="0.25">
      <c r="A54" s="15"/>
      <c r="B54" s="9" t="s">
        <v>49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2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5.75" customHeight="1" x14ac:dyDescent="0.25">
      <c r="A55" s="15"/>
      <c r="B55" s="17"/>
      <c r="C55" s="17"/>
      <c r="D55" s="17"/>
      <c r="E55" s="17"/>
      <c r="F55" s="17"/>
      <c r="G55" s="47"/>
      <c r="H55" s="48"/>
      <c r="I55" s="17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54.75" customHeight="1" x14ac:dyDescent="0.25">
      <c r="A56" s="15"/>
      <c r="B56" s="55" t="s">
        <v>50</v>
      </c>
      <c r="C56" s="8" t="s">
        <v>51</v>
      </c>
      <c r="D56" s="8"/>
      <c r="E56" s="8"/>
      <c r="F56" s="8"/>
      <c r="G56" s="8"/>
      <c r="H56" s="8"/>
      <c r="I56" s="8" t="s">
        <v>52</v>
      </c>
      <c r="J56" s="8"/>
      <c r="K56" s="8"/>
      <c r="L56" s="8"/>
      <c r="M56" s="56" t="s">
        <v>53</v>
      </c>
      <c r="N56" s="8" t="s">
        <v>54</v>
      </c>
      <c r="O56" s="8"/>
      <c r="P56" s="56" t="s">
        <v>55</v>
      </c>
      <c r="Q56" s="56" t="s">
        <v>56</v>
      </c>
      <c r="R56" s="56" t="s">
        <v>57</v>
      </c>
      <c r="S56" s="56" t="s">
        <v>58</v>
      </c>
      <c r="T56" s="56" t="s">
        <v>59</v>
      </c>
      <c r="U56" s="56" t="s">
        <v>60</v>
      </c>
      <c r="V56" s="56" t="s">
        <v>61</v>
      </c>
      <c r="W56" s="56" t="s">
        <v>62</v>
      </c>
      <c r="X56" s="56" t="s">
        <v>63</v>
      </c>
      <c r="Y56" s="57" t="s">
        <v>64</v>
      </c>
      <c r="Z56" s="15"/>
      <c r="AA56" s="15"/>
    </row>
    <row r="57" spans="1:27" ht="51.75" customHeight="1" x14ac:dyDescent="0.25">
      <c r="A57" s="15"/>
      <c r="B57" s="7" t="s">
        <v>65</v>
      </c>
      <c r="C57" s="6" t="s">
        <v>66</v>
      </c>
      <c r="D57" s="6"/>
      <c r="E57" s="6"/>
      <c r="F57" s="6"/>
      <c r="G57" s="6"/>
      <c r="H57" s="6"/>
      <c r="I57" s="5" t="s">
        <v>67</v>
      </c>
      <c r="J57" s="5"/>
      <c r="K57" s="5"/>
      <c r="L57" s="5"/>
      <c r="M57" s="58"/>
      <c r="N57" s="4"/>
      <c r="O57" s="4"/>
      <c r="P57" s="59">
        <v>8</v>
      </c>
      <c r="Q57" s="59">
        <v>7</v>
      </c>
      <c r="R57" s="59">
        <v>40</v>
      </c>
      <c r="S57" s="59">
        <v>0.9</v>
      </c>
      <c r="T57" s="59">
        <v>0.1</v>
      </c>
      <c r="U57" s="59"/>
      <c r="V57" s="59">
        <v>8</v>
      </c>
      <c r="W57" s="59">
        <f>'1. Capina e Roçada'!C165</f>
        <v>25.25</v>
      </c>
      <c r="X57" s="59">
        <f t="shared" ref="X57:X62" si="1">U57*T57*V57*W57</f>
        <v>0</v>
      </c>
      <c r="Y57" s="60">
        <f t="shared" ref="Y57:Y62" si="2">X57*P57</f>
        <v>0</v>
      </c>
      <c r="Z57" s="15"/>
      <c r="AA57" s="15"/>
    </row>
    <row r="58" spans="1:27" ht="40.5" customHeight="1" x14ac:dyDescent="0.25">
      <c r="A58" s="15"/>
      <c r="B58" s="7"/>
      <c r="C58" s="3" t="s">
        <v>68</v>
      </c>
      <c r="D58" s="3"/>
      <c r="E58" s="3"/>
      <c r="F58" s="3"/>
      <c r="G58" s="3"/>
      <c r="H58" s="3"/>
      <c r="I58" s="3" t="s">
        <v>69</v>
      </c>
      <c r="J58" s="3"/>
      <c r="K58" s="3"/>
      <c r="L58" s="3"/>
      <c r="M58" s="61"/>
      <c r="N58" s="4"/>
      <c r="O58" s="4"/>
      <c r="P58" s="62">
        <v>4</v>
      </c>
      <c r="Q58" s="62">
        <v>5</v>
      </c>
      <c r="R58" s="62">
        <v>30</v>
      </c>
      <c r="S58" s="62">
        <v>0.7</v>
      </c>
      <c r="T58" s="62">
        <v>0.13</v>
      </c>
      <c r="U58" s="62"/>
      <c r="V58" s="62">
        <v>5</v>
      </c>
      <c r="W58" s="62">
        <f>'1. Capina e Roçada'!C165</f>
        <v>25.25</v>
      </c>
      <c r="X58" s="62">
        <f t="shared" si="1"/>
        <v>0</v>
      </c>
      <c r="Y58" s="63">
        <f t="shared" si="2"/>
        <v>0</v>
      </c>
      <c r="Z58" s="15"/>
      <c r="AA58" s="15"/>
    </row>
    <row r="59" spans="1:27" ht="32.25" customHeight="1" x14ac:dyDescent="0.25">
      <c r="A59" s="15"/>
      <c r="B59" s="7"/>
      <c r="C59" s="3" t="s">
        <v>70</v>
      </c>
      <c r="D59" s="3"/>
      <c r="E59" s="3"/>
      <c r="F59" s="3"/>
      <c r="G59" s="3"/>
      <c r="H59" s="3"/>
      <c r="I59" s="3" t="s">
        <v>71</v>
      </c>
      <c r="J59" s="3"/>
      <c r="K59" s="3"/>
      <c r="L59" s="3"/>
      <c r="M59" s="61"/>
      <c r="N59" s="4"/>
      <c r="O59" s="4"/>
      <c r="P59" s="62">
        <v>4</v>
      </c>
      <c r="Q59" s="62">
        <v>7</v>
      </c>
      <c r="R59" s="62">
        <v>40</v>
      </c>
      <c r="S59" s="62">
        <v>0.9</v>
      </c>
      <c r="T59" s="62">
        <v>0.19</v>
      </c>
      <c r="U59" s="62"/>
      <c r="V59" s="62">
        <v>2</v>
      </c>
      <c r="W59" s="62">
        <f>'1. Capina e Roçada'!C165</f>
        <v>25.25</v>
      </c>
      <c r="X59" s="62">
        <f t="shared" si="1"/>
        <v>0</v>
      </c>
      <c r="Y59" s="63">
        <f t="shared" si="2"/>
        <v>0</v>
      </c>
      <c r="Z59" s="15"/>
      <c r="AA59" s="15"/>
    </row>
    <row r="60" spans="1:27" ht="15.75" customHeight="1" x14ac:dyDescent="0.25">
      <c r="A60" s="15"/>
      <c r="B60" s="7"/>
      <c r="C60" s="3" t="s">
        <v>72</v>
      </c>
      <c r="D60" s="3"/>
      <c r="E60" s="3"/>
      <c r="F60" s="3"/>
      <c r="G60" s="3"/>
      <c r="H60" s="3"/>
      <c r="I60" s="2" t="s">
        <v>73</v>
      </c>
      <c r="J60" s="2"/>
      <c r="K60" s="2"/>
      <c r="L60" s="2"/>
      <c r="M60" s="61"/>
      <c r="N60" s="4"/>
      <c r="O60" s="4"/>
      <c r="P60" s="62">
        <v>32</v>
      </c>
      <c r="Q60" s="62">
        <v>3</v>
      </c>
      <c r="R60" s="62">
        <v>10</v>
      </c>
      <c r="S60" s="62">
        <v>0.7</v>
      </c>
      <c r="T60" s="62">
        <v>1.1000000000000001</v>
      </c>
      <c r="U60" s="62"/>
      <c r="V60" s="62">
        <v>6</v>
      </c>
      <c r="W60" s="62">
        <f>'1. Capina e Roçada'!C165</f>
        <v>25.25</v>
      </c>
      <c r="X60" s="62">
        <f t="shared" si="1"/>
        <v>0</v>
      </c>
      <c r="Y60" s="63">
        <f t="shared" si="2"/>
        <v>0</v>
      </c>
      <c r="Z60" s="15"/>
      <c r="AA60" s="15"/>
    </row>
    <row r="61" spans="1:27" ht="15.75" customHeight="1" x14ac:dyDescent="0.25">
      <c r="A61" s="15"/>
      <c r="B61" s="7"/>
      <c r="C61" s="2" t="s">
        <v>74</v>
      </c>
      <c r="D61" s="2"/>
      <c r="E61" s="2"/>
      <c r="F61" s="2"/>
      <c r="G61" s="2"/>
      <c r="H61" s="2"/>
      <c r="I61" s="3" t="s">
        <v>75</v>
      </c>
      <c r="J61" s="3"/>
      <c r="K61" s="3"/>
      <c r="L61" s="3"/>
      <c r="M61" s="64"/>
      <c r="N61" s="4"/>
      <c r="O61" s="4"/>
      <c r="P61" s="65">
        <v>4</v>
      </c>
      <c r="Q61" s="65">
        <v>5</v>
      </c>
      <c r="R61" s="65">
        <v>20</v>
      </c>
      <c r="S61" s="65">
        <v>0.7</v>
      </c>
      <c r="T61" s="65">
        <v>0.35</v>
      </c>
      <c r="U61" s="65"/>
      <c r="V61" s="65">
        <v>6</v>
      </c>
      <c r="W61" s="65">
        <f>'1. Capina e Roçada'!C165</f>
        <v>25.25</v>
      </c>
      <c r="X61" s="65">
        <f t="shared" si="1"/>
        <v>0</v>
      </c>
      <c r="Y61" s="63">
        <f t="shared" si="2"/>
        <v>0</v>
      </c>
      <c r="Z61" s="15"/>
      <c r="AA61" s="15"/>
    </row>
    <row r="62" spans="1:27" ht="12.75" customHeight="1" x14ac:dyDescent="0.25">
      <c r="A62" s="15"/>
      <c r="B62" s="7"/>
      <c r="C62" s="3" t="s">
        <v>76</v>
      </c>
      <c r="D62" s="3"/>
      <c r="E62" s="3"/>
      <c r="F62" s="3"/>
      <c r="G62" s="3"/>
      <c r="H62" s="3"/>
      <c r="I62" s="3" t="s">
        <v>77</v>
      </c>
      <c r="J62" s="3"/>
      <c r="K62" s="3"/>
      <c r="L62" s="3"/>
      <c r="M62" s="66"/>
      <c r="N62" s="4"/>
      <c r="O62" s="4"/>
      <c r="P62" s="67">
        <v>3</v>
      </c>
      <c r="Q62" s="67">
        <v>6</v>
      </c>
      <c r="R62" s="67">
        <v>20</v>
      </c>
      <c r="S62" s="67">
        <v>0.7</v>
      </c>
      <c r="T62" s="67">
        <v>0.18</v>
      </c>
      <c r="U62" s="67"/>
      <c r="V62" s="67">
        <v>5</v>
      </c>
      <c r="W62" s="67">
        <f>'1. Capina e Roçada'!C165</f>
        <v>25.25</v>
      </c>
      <c r="X62" s="67">
        <f t="shared" si="1"/>
        <v>0</v>
      </c>
      <c r="Y62" s="68">
        <f t="shared" si="2"/>
        <v>0</v>
      </c>
      <c r="Z62" s="15"/>
      <c r="AA62" s="15"/>
    </row>
    <row r="63" spans="1:27" ht="35.25" customHeight="1" x14ac:dyDescent="0.25">
      <c r="A63" s="15"/>
      <c r="B63" s="7"/>
      <c r="C63" s="3"/>
      <c r="D63" s="3"/>
      <c r="E63" s="3"/>
      <c r="F63" s="3"/>
      <c r="G63" s="3"/>
      <c r="H63" s="3"/>
      <c r="I63" s="1" t="s">
        <v>78</v>
      </c>
      <c r="J63" s="1"/>
      <c r="K63" s="1"/>
      <c r="L63" s="1"/>
      <c r="M63" s="69"/>
      <c r="N63" s="4"/>
      <c r="O63" s="4"/>
      <c r="P63" s="70">
        <f>P62</f>
        <v>3</v>
      </c>
      <c r="Q63" s="70">
        <f>Q62</f>
        <v>6</v>
      </c>
      <c r="R63" s="70">
        <f>R62</f>
        <v>20</v>
      </c>
      <c r="S63" s="70">
        <f>S62</f>
        <v>0.7</v>
      </c>
      <c r="T63" s="71"/>
      <c r="U63" s="71"/>
      <c r="V63" s="71"/>
      <c r="W63" s="71"/>
      <c r="X63" s="71"/>
      <c r="Y63" s="72"/>
      <c r="Z63" s="15"/>
      <c r="AA63" s="15"/>
    </row>
    <row r="64" spans="1:27" ht="12.75" customHeight="1" x14ac:dyDescent="0.25">
      <c r="A64" s="15"/>
      <c r="B64" s="7"/>
      <c r="C64" s="526" t="s">
        <v>79</v>
      </c>
      <c r="D64" s="526"/>
      <c r="E64" s="526"/>
      <c r="F64" s="526"/>
      <c r="G64" s="526"/>
      <c r="H64" s="526"/>
      <c r="I64" s="527" t="s">
        <v>77</v>
      </c>
      <c r="J64" s="527"/>
      <c r="K64" s="527"/>
      <c r="L64" s="527"/>
      <c r="M64" s="66"/>
      <c r="N64" s="4"/>
      <c r="O64" s="4"/>
      <c r="P64" s="67">
        <v>1</v>
      </c>
      <c r="Q64" s="67">
        <v>6</v>
      </c>
      <c r="R64" s="67">
        <v>20</v>
      </c>
      <c r="S64" s="67">
        <v>0.7</v>
      </c>
      <c r="T64" s="67">
        <v>0.18</v>
      </c>
      <c r="U64" s="67"/>
      <c r="V64" s="67">
        <v>5</v>
      </c>
      <c r="W64" s="67">
        <f>'1. Capina e Roçada'!C165</f>
        <v>25.25</v>
      </c>
      <c r="X64" s="67">
        <f>U64*T64*V64*W64</f>
        <v>0</v>
      </c>
      <c r="Y64" s="68">
        <f>X64*P64</f>
        <v>0</v>
      </c>
      <c r="Z64" s="15"/>
      <c r="AA64" s="15"/>
    </row>
    <row r="65" spans="1:27" ht="38.25" customHeight="1" x14ac:dyDescent="0.25">
      <c r="A65" s="15"/>
      <c r="B65" s="7"/>
      <c r="C65" s="526"/>
      <c r="D65" s="526"/>
      <c r="E65" s="526"/>
      <c r="F65" s="526"/>
      <c r="G65" s="526"/>
      <c r="H65" s="526"/>
      <c r="I65" s="528" t="s">
        <v>78</v>
      </c>
      <c r="J65" s="528"/>
      <c r="K65" s="528"/>
      <c r="L65" s="528"/>
      <c r="M65" s="73"/>
      <c r="N65" s="4"/>
      <c r="O65" s="4"/>
      <c r="P65" s="74">
        <f>P64*2</f>
        <v>2</v>
      </c>
      <c r="Q65" s="74">
        <f>Q64</f>
        <v>6</v>
      </c>
      <c r="R65" s="74">
        <f>R64</f>
        <v>20</v>
      </c>
      <c r="S65" s="74">
        <f>S64</f>
        <v>0.7</v>
      </c>
      <c r="T65" s="75"/>
      <c r="U65" s="75"/>
      <c r="V65" s="75"/>
      <c r="W65" s="75"/>
      <c r="X65" s="75"/>
      <c r="Y65" s="76"/>
      <c r="Z65" s="15"/>
      <c r="AA65" s="15"/>
    </row>
    <row r="66" spans="1:27" ht="60" customHeight="1" x14ac:dyDescent="0.25">
      <c r="A66" s="77"/>
      <c r="B66" s="7" t="s">
        <v>16</v>
      </c>
      <c r="C66" s="529" t="s">
        <v>80</v>
      </c>
      <c r="D66" s="529"/>
      <c r="E66" s="529"/>
      <c r="F66" s="529"/>
      <c r="G66" s="529"/>
      <c r="H66" s="529"/>
      <c r="I66" s="5" t="s">
        <v>81</v>
      </c>
      <c r="J66" s="5"/>
      <c r="K66" s="5"/>
      <c r="L66" s="5"/>
      <c r="M66" s="78"/>
      <c r="N66" s="4"/>
      <c r="O66" s="4"/>
      <c r="P66" s="59">
        <v>2</v>
      </c>
      <c r="Q66" s="59">
        <v>7</v>
      </c>
      <c r="R66" s="59">
        <v>40</v>
      </c>
      <c r="S66" s="59">
        <v>0.9</v>
      </c>
      <c r="T66" s="59">
        <v>0.1</v>
      </c>
      <c r="U66" s="59"/>
      <c r="V66" s="59">
        <v>6</v>
      </c>
      <c r="W66" s="59">
        <f>'2. Varrição Manual'!C96</f>
        <v>25.25</v>
      </c>
      <c r="X66" s="59">
        <f>U66*T66*V66*W66</f>
        <v>0</v>
      </c>
      <c r="Y66" s="60">
        <f>X66*P66</f>
        <v>0</v>
      </c>
      <c r="Z66" s="15"/>
      <c r="AA66" s="15"/>
    </row>
    <row r="67" spans="1:27" ht="57" customHeight="1" x14ac:dyDescent="0.25">
      <c r="A67" s="77"/>
      <c r="B67" s="7"/>
      <c r="C67" s="529"/>
      <c r="D67" s="529"/>
      <c r="E67" s="529"/>
      <c r="F67" s="529"/>
      <c r="G67" s="529"/>
      <c r="H67" s="529"/>
      <c r="I67" s="530" t="s">
        <v>82</v>
      </c>
      <c r="J67" s="530"/>
      <c r="K67" s="530"/>
      <c r="L67" s="530"/>
      <c r="M67" s="79"/>
      <c r="N67" s="531"/>
      <c r="O67" s="531"/>
      <c r="P67" s="80">
        <f>P66</f>
        <v>2</v>
      </c>
      <c r="Q67" s="80">
        <f>Q66</f>
        <v>7</v>
      </c>
      <c r="R67" s="80">
        <f>R66</f>
        <v>40</v>
      </c>
      <c r="S67" s="80">
        <f>S66</f>
        <v>0.9</v>
      </c>
      <c r="T67" s="81"/>
      <c r="U67" s="81"/>
      <c r="V67" s="81"/>
      <c r="W67" s="81"/>
      <c r="X67" s="81"/>
      <c r="Y67" s="82"/>
      <c r="Z67" s="15"/>
      <c r="AA67" s="15"/>
    </row>
    <row r="68" spans="1:27" ht="12.75" customHeight="1" x14ac:dyDescent="0.25">
      <c r="A68" s="44"/>
      <c r="B68" s="532" t="s">
        <v>17</v>
      </c>
      <c r="C68" s="533" t="s">
        <v>83</v>
      </c>
      <c r="D68" s="533"/>
      <c r="E68" s="533"/>
      <c r="F68" s="533"/>
      <c r="G68" s="533"/>
      <c r="H68" s="533"/>
      <c r="I68" s="534" t="s">
        <v>84</v>
      </c>
      <c r="J68" s="534"/>
      <c r="K68" s="534"/>
      <c r="L68" s="534"/>
      <c r="M68" s="535"/>
      <c r="N68" s="4"/>
      <c r="O68" s="4"/>
      <c r="P68" s="83">
        <v>1</v>
      </c>
      <c r="Q68" s="83">
        <v>7</v>
      </c>
      <c r="R68" s="83">
        <v>40</v>
      </c>
      <c r="S68" s="83">
        <v>0.9</v>
      </c>
      <c r="T68" s="83">
        <v>0.1</v>
      </c>
      <c r="U68" s="83"/>
      <c r="V68" s="83">
        <v>6</v>
      </c>
      <c r="W68" s="83">
        <f>'3. Varrição Mecanizada'!C80</f>
        <v>25.25</v>
      </c>
      <c r="X68" s="83">
        <f>U68*T68*V68*W68</f>
        <v>0</v>
      </c>
      <c r="Y68" s="83">
        <f>X68*P68</f>
        <v>0</v>
      </c>
      <c r="Z68" s="44"/>
      <c r="AA68" s="44"/>
    </row>
    <row r="69" spans="1:27" ht="23.85" customHeight="1" x14ac:dyDescent="0.25">
      <c r="A69" s="44"/>
      <c r="B69" s="532"/>
      <c r="C69" s="533"/>
      <c r="D69" s="533"/>
      <c r="E69" s="533"/>
      <c r="F69" s="533"/>
      <c r="G69" s="533"/>
      <c r="H69" s="533"/>
      <c r="I69" s="536" t="s">
        <v>85</v>
      </c>
      <c r="J69" s="536"/>
      <c r="K69" s="536"/>
      <c r="L69" s="536"/>
      <c r="M69" s="535"/>
      <c r="N69" s="537"/>
      <c r="O69" s="537"/>
      <c r="P69" s="84">
        <v>1</v>
      </c>
      <c r="Q69" s="84">
        <v>5</v>
      </c>
      <c r="R69" s="84">
        <v>40</v>
      </c>
      <c r="S69" s="84">
        <v>0.8</v>
      </c>
      <c r="T69" s="84">
        <v>0.1</v>
      </c>
      <c r="U69" s="84"/>
      <c r="V69" s="84">
        <v>6</v>
      </c>
      <c r="W69" s="84">
        <f>'3. Varrição Mecanizada'!C80</f>
        <v>25.25</v>
      </c>
      <c r="X69" s="83">
        <f>U69*T69*V69*W69</f>
        <v>0</v>
      </c>
      <c r="Y69" s="83">
        <f>X69*P69</f>
        <v>0</v>
      </c>
      <c r="Z69" s="44"/>
      <c r="AA69" s="44"/>
    </row>
    <row r="70" spans="1:27" ht="48.75" customHeight="1" x14ac:dyDescent="0.25">
      <c r="A70" s="44"/>
      <c r="B70" s="85" t="s">
        <v>18</v>
      </c>
      <c r="C70" s="538" t="s">
        <v>86</v>
      </c>
      <c r="D70" s="538"/>
      <c r="E70" s="538"/>
      <c r="F70" s="538"/>
      <c r="G70" s="538"/>
      <c r="H70" s="538"/>
      <c r="I70" s="536" t="s">
        <v>87</v>
      </c>
      <c r="J70" s="536"/>
      <c r="K70" s="536"/>
      <c r="L70" s="536"/>
      <c r="M70" s="86"/>
      <c r="N70" s="537"/>
      <c r="O70" s="537"/>
      <c r="P70" s="84">
        <v>3</v>
      </c>
      <c r="Q70" s="84">
        <v>7</v>
      </c>
      <c r="R70" s="84">
        <v>40</v>
      </c>
      <c r="S70" s="84">
        <v>0.9</v>
      </c>
      <c r="T70" s="84">
        <v>0.1</v>
      </c>
      <c r="U70" s="84"/>
      <c r="V70" s="84">
        <v>5</v>
      </c>
      <c r="W70" s="84">
        <f>'4. Pintura Meio-Fios'!C77</f>
        <v>25.25</v>
      </c>
      <c r="X70" s="84">
        <f>U70*T70*V70*W70</f>
        <v>0</v>
      </c>
      <c r="Y70" s="84">
        <f>X70*P70</f>
        <v>0</v>
      </c>
      <c r="Z70" s="44"/>
      <c r="AA70" s="44"/>
    </row>
    <row r="71" spans="1:27" ht="37.5" customHeight="1" x14ac:dyDescent="0.25">
      <c r="A71" s="15"/>
      <c r="B71" s="87" t="s">
        <v>88</v>
      </c>
      <c r="C71" s="6" t="s">
        <v>89</v>
      </c>
      <c r="D71" s="6"/>
      <c r="E71" s="6"/>
      <c r="F71" s="6"/>
      <c r="G71" s="6"/>
      <c r="H71" s="6"/>
      <c r="I71" s="1" t="s">
        <v>90</v>
      </c>
      <c r="J71" s="1"/>
      <c r="K71" s="1"/>
      <c r="L71" s="1"/>
      <c r="M71" s="79"/>
      <c r="N71" s="537"/>
      <c r="O71" s="537"/>
      <c r="P71" s="88">
        <v>1</v>
      </c>
      <c r="Q71" s="88">
        <v>5</v>
      </c>
      <c r="R71" s="88">
        <v>40</v>
      </c>
      <c r="S71" s="88">
        <v>0.6</v>
      </c>
      <c r="T71" s="88">
        <v>0.09</v>
      </c>
      <c r="U71" s="89"/>
      <c r="V71" s="89">
        <v>4</v>
      </c>
      <c r="W71" s="88">
        <f>'5. Equipe Técnica'!C105</f>
        <v>20.91</v>
      </c>
      <c r="X71" s="88">
        <f>U71*T71*V71*W71</f>
        <v>0</v>
      </c>
      <c r="Y71" s="90">
        <f>X71*P71</f>
        <v>0</v>
      </c>
      <c r="Z71" s="15"/>
      <c r="AA71" s="15"/>
    </row>
    <row r="72" spans="1:27" ht="12.75" customHeight="1" x14ac:dyDescent="0.25">
      <c r="A72" s="15"/>
      <c r="B72" s="91"/>
      <c r="C72" s="539" t="s">
        <v>91</v>
      </c>
      <c r="D72" s="539"/>
      <c r="E72" s="539"/>
      <c r="F72" s="539"/>
      <c r="G72" s="539"/>
      <c r="H72" s="539"/>
      <c r="I72" s="539" t="s">
        <v>92</v>
      </c>
      <c r="J72" s="539"/>
      <c r="K72" s="539"/>
      <c r="L72" s="539"/>
      <c r="M72" s="92"/>
      <c r="N72" s="531"/>
      <c r="O72" s="531"/>
      <c r="P72" s="65">
        <v>1</v>
      </c>
      <c r="Q72" s="65">
        <v>5</v>
      </c>
      <c r="R72" s="65">
        <v>40</v>
      </c>
      <c r="S72" s="65">
        <v>0.6</v>
      </c>
      <c r="T72" s="65">
        <v>0.05</v>
      </c>
      <c r="U72" s="65"/>
      <c r="V72" s="93">
        <v>5</v>
      </c>
      <c r="W72" s="65">
        <f>'5. Equipe Técnica'!C114</f>
        <v>25.25</v>
      </c>
      <c r="X72" s="65">
        <f>U72*T72*V72*W72</f>
        <v>0</v>
      </c>
      <c r="Y72" s="65">
        <f>X72*P72</f>
        <v>0</v>
      </c>
      <c r="Z72" s="15"/>
      <c r="AA72" s="15"/>
    </row>
    <row r="73" spans="1:27" ht="15.75" customHeight="1" x14ac:dyDescent="0.25">
      <c r="A73" s="15"/>
      <c r="B73" s="34"/>
      <c r="C73" s="540"/>
      <c r="D73" s="540"/>
      <c r="E73" s="540"/>
      <c r="F73" s="540"/>
      <c r="G73" s="540"/>
      <c r="H73" s="540"/>
      <c r="I73" s="540"/>
      <c r="J73" s="540"/>
      <c r="K73" s="540"/>
      <c r="L73" s="540"/>
      <c r="M73" s="94"/>
      <c r="N73" s="541"/>
      <c r="O73" s="541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15"/>
      <c r="AA73" s="15"/>
    </row>
    <row r="74" spans="1:27" ht="21" customHeight="1" x14ac:dyDescent="0.25">
      <c r="A74" s="15"/>
      <c r="Z74" s="15"/>
      <c r="AA74" s="15"/>
    </row>
    <row r="75" spans="1:27" x14ac:dyDescent="0.25">
      <c r="A75" s="15"/>
      <c r="Z75" s="15"/>
      <c r="AA75" s="15"/>
    </row>
    <row r="76" spans="1:27" ht="25.5" customHeight="1" x14ac:dyDescent="0.25">
      <c r="A76" s="15"/>
      <c r="B76" s="542"/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96"/>
      <c r="N76" s="544"/>
      <c r="O76" s="544"/>
      <c r="P76" s="97"/>
      <c r="Q76" s="97"/>
      <c r="R76" s="97"/>
      <c r="S76" s="97"/>
      <c r="T76" s="97"/>
      <c r="U76" s="98"/>
      <c r="V76" s="98"/>
      <c r="W76" s="97"/>
      <c r="X76" s="97"/>
      <c r="Y76" s="97"/>
      <c r="Z76" s="15"/>
      <c r="AA76" s="15"/>
    </row>
    <row r="77" spans="1:27" ht="24" customHeight="1" x14ac:dyDescent="0.25">
      <c r="A77" s="15"/>
      <c r="B77" s="542"/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96"/>
      <c r="N77" s="544"/>
      <c r="O77" s="544"/>
      <c r="P77" s="97"/>
      <c r="Q77" s="97"/>
      <c r="R77" s="97"/>
      <c r="S77" s="97"/>
      <c r="T77" s="97"/>
      <c r="U77" s="97"/>
      <c r="V77" s="98"/>
      <c r="W77" s="97"/>
      <c r="X77" s="97"/>
      <c r="Y77" s="97"/>
      <c r="Z77" s="15"/>
      <c r="AA77" s="15"/>
    </row>
    <row r="78" spans="1:27" ht="15.75" customHeight="1" x14ac:dyDescent="0.25">
      <c r="A78" s="15"/>
      <c r="B78" s="99"/>
      <c r="C78" s="100"/>
      <c r="D78" s="17"/>
      <c r="E78" s="17"/>
      <c r="F78" s="17"/>
      <c r="G78" s="47"/>
      <c r="H78" s="48"/>
      <c r="I78" s="17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2.75" customHeight="1" x14ac:dyDescent="0.25">
      <c r="A79" s="15"/>
      <c r="B79" s="18" t="s">
        <v>93</v>
      </c>
      <c r="C79" s="54"/>
      <c r="D79" s="54"/>
      <c r="E79" s="54"/>
      <c r="F79" s="54"/>
      <c r="G79" s="47"/>
      <c r="H79" s="48"/>
      <c r="I79" s="17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5.75" customHeight="1" x14ac:dyDescent="0.25">
      <c r="A80" s="15"/>
      <c r="B80" s="99"/>
      <c r="C80" s="100"/>
      <c r="D80" s="17"/>
      <c r="E80" s="17"/>
      <c r="F80" s="17"/>
      <c r="G80" s="47"/>
      <c r="H80" s="48"/>
      <c r="I80" s="17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5.75" customHeight="1" x14ac:dyDescent="0.25">
      <c r="A81" s="15"/>
      <c r="B81" s="101"/>
      <c r="C81" s="546" t="s">
        <v>94</v>
      </c>
      <c r="D81" s="546"/>
      <c r="E81" s="546"/>
      <c r="F81" s="546"/>
      <c r="G81" s="546"/>
      <c r="H81" s="48"/>
      <c r="I81" s="17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31.5" customHeight="1" x14ac:dyDescent="0.25">
      <c r="A82" s="15"/>
      <c r="B82" s="101"/>
      <c r="C82" s="547" t="s">
        <v>95</v>
      </c>
      <c r="D82" s="547"/>
      <c r="E82" s="547"/>
      <c r="F82" s="547"/>
      <c r="G82" s="102" t="s">
        <v>96</v>
      </c>
      <c r="H82" s="103" t="s">
        <v>97</v>
      </c>
      <c r="I82" s="103" t="s">
        <v>98</v>
      </c>
      <c r="J82" s="104" t="s">
        <v>99</v>
      </c>
      <c r="K82" s="548" t="s">
        <v>53</v>
      </c>
      <c r="L82" s="548"/>
      <c r="M82" s="548"/>
      <c r="N82" s="549" t="s">
        <v>100</v>
      </c>
      <c r="O82" s="549"/>
      <c r="P82" s="549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4.1" customHeight="1" x14ac:dyDescent="0.25">
      <c r="A83" s="15"/>
      <c r="B83" s="550" t="s">
        <v>101</v>
      </c>
      <c r="C83" s="551" t="s">
        <v>102</v>
      </c>
      <c r="D83" s="551"/>
      <c r="E83" s="551"/>
      <c r="F83" s="551"/>
      <c r="G83" s="105">
        <v>264</v>
      </c>
      <c r="H83" s="59">
        <f t="shared" ref="H83:H94" si="3">G83/12</f>
        <v>22</v>
      </c>
      <c r="I83" s="59" t="s">
        <v>103</v>
      </c>
      <c r="J83" s="106"/>
      <c r="K83" s="552"/>
      <c r="L83" s="552"/>
      <c r="M83" s="552"/>
      <c r="N83" s="553" t="s">
        <v>104</v>
      </c>
      <c r="O83" s="553"/>
      <c r="P83" s="55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5.75" customHeight="1" x14ac:dyDescent="0.25">
      <c r="A84" s="15"/>
      <c r="B84" s="550"/>
      <c r="C84" s="554" t="s">
        <v>105</v>
      </c>
      <c r="D84" s="554"/>
      <c r="E84" s="554"/>
      <c r="F84" s="554"/>
      <c r="G84" s="107">
        <v>264</v>
      </c>
      <c r="H84" s="108">
        <f t="shared" si="3"/>
        <v>22</v>
      </c>
      <c r="I84" s="108" t="s">
        <v>103</v>
      </c>
      <c r="J84" s="109"/>
      <c r="K84" s="555"/>
      <c r="L84" s="555"/>
      <c r="M84" s="555"/>
      <c r="N84" s="556" t="s">
        <v>104</v>
      </c>
      <c r="O84" s="556"/>
      <c r="P84" s="556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5.75" customHeight="1" x14ac:dyDescent="0.25">
      <c r="A85" s="15"/>
      <c r="B85" s="550"/>
      <c r="C85" s="554" t="s">
        <v>106</v>
      </c>
      <c r="D85" s="554"/>
      <c r="E85" s="554"/>
      <c r="F85" s="554"/>
      <c r="G85" s="107">
        <v>264</v>
      </c>
      <c r="H85" s="108">
        <f t="shared" si="3"/>
        <v>22</v>
      </c>
      <c r="I85" s="108" t="s">
        <v>103</v>
      </c>
      <c r="J85" s="109"/>
      <c r="K85" s="555"/>
      <c r="L85" s="555"/>
      <c r="M85" s="555"/>
      <c r="N85" s="556" t="s">
        <v>104</v>
      </c>
      <c r="O85" s="556"/>
      <c r="P85" s="556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23.85" customHeight="1" x14ac:dyDescent="0.25">
      <c r="A86" s="15"/>
      <c r="B86" s="550"/>
      <c r="C86" s="554" t="s">
        <v>107</v>
      </c>
      <c r="D86" s="554"/>
      <c r="E86" s="554"/>
      <c r="F86" s="554"/>
      <c r="G86" s="107">
        <v>44</v>
      </c>
      <c r="H86" s="108">
        <f t="shared" si="3"/>
        <v>3.6666666666666665</v>
      </c>
      <c r="I86" s="108" t="s">
        <v>103</v>
      </c>
      <c r="J86" s="109"/>
      <c r="K86" s="555"/>
      <c r="L86" s="555"/>
      <c r="M86" s="555"/>
      <c r="N86" s="557" t="s">
        <v>104</v>
      </c>
      <c r="O86" s="557"/>
      <c r="P86" s="557"/>
      <c r="Q86" s="110"/>
      <c r="R86" s="110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2.75" customHeight="1" x14ac:dyDescent="0.25">
      <c r="A87" s="15"/>
      <c r="B87" s="558" t="s">
        <v>108</v>
      </c>
      <c r="C87" s="551" t="s">
        <v>109</v>
      </c>
      <c r="D87" s="551"/>
      <c r="E87" s="551"/>
      <c r="F87" s="551"/>
      <c r="G87" s="105">
        <v>472</v>
      </c>
      <c r="H87" s="59">
        <f t="shared" si="3"/>
        <v>39.333333333333336</v>
      </c>
      <c r="I87" s="59" t="s">
        <v>103</v>
      </c>
      <c r="J87" s="111"/>
      <c r="K87" s="552"/>
      <c r="L87" s="552"/>
      <c r="M87" s="552"/>
      <c r="N87" s="553" t="s">
        <v>104</v>
      </c>
      <c r="O87" s="553"/>
      <c r="P87" s="553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2.75" customHeight="1" x14ac:dyDescent="0.25">
      <c r="A88" s="15"/>
      <c r="B88" s="558"/>
      <c r="C88" s="554" t="s">
        <v>110</v>
      </c>
      <c r="D88" s="554"/>
      <c r="E88" s="554"/>
      <c r="F88" s="554"/>
      <c r="G88" s="107">
        <v>168</v>
      </c>
      <c r="H88" s="108">
        <f t="shared" si="3"/>
        <v>14</v>
      </c>
      <c r="I88" s="108" t="s">
        <v>103</v>
      </c>
      <c r="J88" s="109"/>
      <c r="K88" s="555"/>
      <c r="L88" s="555"/>
      <c r="M88" s="555"/>
      <c r="N88" s="556" t="s">
        <v>104</v>
      </c>
      <c r="O88" s="556"/>
      <c r="P88" s="556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2.75" customHeight="1" x14ac:dyDescent="0.25">
      <c r="A89" s="15"/>
      <c r="B89" s="558"/>
      <c r="C89" s="554" t="s">
        <v>111</v>
      </c>
      <c r="D89" s="554"/>
      <c r="E89" s="554"/>
      <c r="F89" s="554"/>
      <c r="G89" s="107">
        <v>87000</v>
      </c>
      <c r="H89" s="108">
        <f t="shared" si="3"/>
        <v>7250</v>
      </c>
      <c r="I89" s="108" t="s">
        <v>103</v>
      </c>
      <c r="J89" s="109"/>
      <c r="K89" s="555"/>
      <c r="L89" s="555"/>
      <c r="M89" s="555"/>
      <c r="N89" s="559" t="s">
        <v>112</v>
      </c>
      <c r="O89" s="559"/>
      <c r="P89" s="55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5.75" customHeight="1" x14ac:dyDescent="0.25">
      <c r="A90" s="15"/>
      <c r="B90" s="558"/>
      <c r="C90" s="560" t="s">
        <v>113</v>
      </c>
      <c r="D90" s="560"/>
      <c r="E90" s="560"/>
      <c r="F90" s="560"/>
      <c r="G90" s="112">
        <v>28</v>
      </c>
      <c r="H90" s="113">
        <f t="shared" si="3"/>
        <v>2.3333333333333335</v>
      </c>
      <c r="I90" s="113" t="s">
        <v>103</v>
      </c>
      <c r="J90" s="114"/>
      <c r="K90" s="561"/>
      <c r="L90" s="561"/>
      <c r="M90" s="561"/>
      <c r="N90" s="562" t="s">
        <v>112</v>
      </c>
      <c r="O90" s="562"/>
      <c r="P90" s="562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5.75" customHeight="1" x14ac:dyDescent="0.25">
      <c r="A91" s="15"/>
      <c r="B91" s="558" t="s">
        <v>114</v>
      </c>
      <c r="C91" s="563" t="s">
        <v>115</v>
      </c>
      <c r="D91" s="563"/>
      <c r="E91" s="563"/>
      <c r="F91" s="563"/>
      <c r="G91" s="115">
        <v>450</v>
      </c>
      <c r="H91" s="116">
        <f t="shared" si="3"/>
        <v>37.5</v>
      </c>
      <c r="I91" s="116" t="s">
        <v>103</v>
      </c>
      <c r="J91" s="117"/>
      <c r="K91" s="564"/>
      <c r="L91" s="564"/>
      <c r="M91" s="564"/>
      <c r="N91" s="559" t="s">
        <v>112</v>
      </c>
      <c r="O91" s="559"/>
      <c r="P91" s="559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2.75" customHeight="1" x14ac:dyDescent="0.25">
      <c r="A92" s="15"/>
      <c r="B92" s="558"/>
      <c r="C92" s="565" t="s">
        <v>116</v>
      </c>
      <c r="D92" s="565"/>
      <c r="E92" s="565"/>
      <c r="F92" s="565"/>
      <c r="G92" s="107">
        <v>72</v>
      </c>
      <c r="H92" s="108">
        <f t="shared" si="3"/>
        <v>6</v>
      </c>
      <c r="I92" s="108" t="s">
        <v>103</v>
      </c>
      <c r="J92" s="109"/>
      <c r="K92" s="555"/>
      <c r="L92" s="555"/>
      <c r="M92" s="555"/>
      <c r="N92" s="556" t="s">
        <v>104</v>
      </c>
      <c r="O92" s="556"/>
      <c r="P92" s="556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2.75" customHeight="1" x14ac:dyDescent="0.25">
      <c r="A93" s="44"/>
      <c r="B93" s="558"/>
      <c r="C93" s="565" t="s">
        <v>117</v>
      </c>
      <c r="D93" s="565"/>
      <c r="E93" s="565"/>
      <c r="F93" s="565"/>
      <c r="G93" s="107">
        <v>45000</v>
      </c>
      <c r="H93" s="108">
        <f t="shared" si="3"/>
        <v>3750</v>
      </c>
      <c r="I93" s="108" t="s">
        <v>118</v>
      </c>
      <c r="J93" s="109"/>
      <c r="K93" s="555"/>
      <c r="L93" s="555"/>
      <c r="M93" s="555"/>
      <c r="N93" s="559" t="s">
        <v>112</v>
      </c>
      <c r="O93" s="559"/>
      <c r="P93" s="559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5.75" customHeight="1" x14ac:dyDescent="0.25">
      <c r="A94" s="44"/>
      <c r="B94" s="558"/>
      <c r="C94" s="566" t="s">
        <v>119</v>
      </c>
      <c r="D94" s="566"/>
      <c r="E94" s="566"/>
      <c r="F94" s="566"/>
      <c r="G94" s="112">
        <v>6</v>
      </c>
      <c r="H94" s="113">
        <f t="shared" si="3"/>
        <v>0.5</v>
      </c>
      <c r="I94" s="113" t="s">
        <v>103</v>
      </c>
      <c r="J94" s="118"/>
      <c r="K94" s="561"/>
      <c r="L94" s="561"/>
      <c r="M94" s="561"/>
      <c r="N94" s="567" t="s">
        <v>112</v>
      </c>
      <c r="O94" s="567"/>
      <c r="P94" s="567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27" ht="13.8" x14ac:dyDescent="0.25">
      <c r="A95" s="15"/>
      <c r="B95" s="568"/>
      <c r="C95" s="543"/>
      <c r="D95" s="543"/>
      <c r="E95" s="543"/>
      <c r="F95" s="543"/>
      <c r="G95" s="97"/>
      <c r="H95" s="97"/>
      <c r="I95" s="97"/>
      <c r="J95" s="119"/>
      <c r="K95" s="569"/>
      <c r="L95" s="569"/>
      <c r="M95" s="569"/>
      <c r="N95" s="570"/>
      <c r="O95" s="570"/>
      <c r="P95" s="570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2.75" customHeight="1" x14ac:dyDescent="0.25">
      <c r="A96" s="15"/>
      <c r="B96" s="568"/>
      <c r="C96" s="543"/>
      <c r="D96" s="543"/>
      <c r="E96" s="543"/>
      <c r="F96" s="543"/>
      <c r="G96" s="97"/>
      <c r="H96" s="97"/>
      <c r="I96" s="97"/>
      <c r="J96" s="119"/>
      <c r="K96" s="569"/>
      <c r="L96" s="569"/>
      <c r="M96" s="569"/>
      <c r="N96" s="570"/>
      <c r="O96" s="570"/>
      <c r="P96" s="570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5" customHeight="1" x14ac:dyDescent="0.25">
      <c r="A97" s="15"/>
      <c r="B97" s="568"/>
      <c r="C97" s="543"/>
      <c r="D97" s="543"/>
      <c r="E97" s="543"/>
      <c r="F97" s="543"/>
      <c r="G97" s="97"/>
      <c r="H97" s="97"/>
      <c r="I97" s="97"/>
      <c r="J97" s="119"/>
      <c r="K97" s="569"/>
      <c r="L97" s="569"/>
      <c r="M97" s="569"/>
      <c r="N97" s="570"/>
      <c r="O97" s="570"/>
      <c r="P97" s="570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3.8" x14ac:dyDescent="0.25">
      <c r="A98" s="15"/>
      <c r="B98" s="568"/>
      <c r="C98" s="543"/>
      <c r="D98" s="543"/>
      <c r="E98" s="543"/>
      <c r="F98" s="543"/>
      <c r="G98" s="97"/>
      <c r="H98" s="97"/>
      <c r="I98" s="97"/>
      <c r="J98" s="119"/>
      <c r="K98" s="569"/>
      <c r="L98" s="569"/>
      <c r="M98" s="569"/>
      <c r="N98" s="570"/>
      <c r="O98" s="570"/>
      <c r="P98" s="570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5" customHeight="1" x14ac:dyDescent="0.25">
      <c r="A99" s="15"/>
      <c r="B99" s="17"/>
      <c r="C99" s="17"/>
      <c r="D99" s="17"/>
      <c r="E99" s="17"/>
      <c r="F99" s="15"/>
      <c r="G99" s="120"/>
      <c r="H99" s="17"/>
      <c r="I99" s="17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5" customHeight="1" x14ac:dyDescent="0.25">
      <c r="A100" s="15"/>
      <c r="B100" s="18" t="s">
        <v>120</v>
      </c>
      <c r="C100" s="17"/>
      <c r="D100" s="17"/>
      <c r="E100" s="17"/>
      <c r="F100" s="15"/>
      <c r="G100" s="120"/>
      <c r="H100" s="17"/>
      <c r="I100" s="17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5" customHeight="1" x14ac:dyDescent="0.25">
      <c r="A101" s="15"/>
      <c r="B101" s="17"/>
      <c r="C101" s="17"/>
      <c r="D101" s="17"/>
      <c r="E101" s="17"/>
      <c r="F101" s="15"/>
      <c r="G101" s="120"/>
      <c r="H101" s="17"/>
      <c r="I101" s="17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5" customHeight="1" x14ac:dyDescent="0.25">
      <c r="A102" s="15"/>
      <c r="B102" s="46" t="s">
        <v>121</v>
      </c>
      <c r="C102" s="17"/>
      <c r="D102" s="17"/>
      <c r="E102" s="17"/>
      <c r="F102" s="15"/>
      <c r="G102" s="120"/>
      <c r="H102" s="17"/>
      <c r="I102" s="17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5" customHeight="1" x14ac:dyDescent="0.25">
      <c r="A103" s="15"/>
      <c r="B103" s="43"/>
      <c r="C103" s="121"/>
      <c r="D103" s="121"/>
      <c r="E103" s="121"/>
      <c r="F103" s="15"/>
      <c r="G103" s="122"/>
      <c r="H103" s="17"/>
      <c r="I103" s="17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5" customHeight="1" x14ac:dyDescent="0.25">
      <c r="A104" s="15"/>
      <c r="B104" s="571" t="s">
        <v>122</v>
      </c>
      <c r="C104" s="572" t="s">
        <v>123</v>
      </c>
      <c r="D104" s="572"/>
      <c r="E104" s="123"/>
      <c r="F104" s="572" t="s">
        <v>124</v>
      </c>
      <c r="G104" s="572"/>
      <c r="H104" s="572" t="s">
        <v>125</v>
      </c>
      <c r="I104" s="572"/>
      <c r="J104" s="572" t="s">
        <v>126</v>
      </c>
      <c r="K104" s="572"/>
      <c r="L104" s="573" t="s">
        <v>127</v>
      </c>
      <c r="M104" s="573"/>
      <c r="N104" s="573"/>
      <c r="O104" s="574" t="s">
        <v>128</v>
      </c>
      <c r="P104" s="574" t="s">
        <v>129</v>
      </c>
      <c r="Q104" s="124"/>
      <c r="R104" s="124"/>
      <c r="S104" s="125"/>
      <c r="T104" s="15"/>
      <c r="U104" s="15"/>
      <c r="V104" s="15"/>
      <c r="W104" s="15"/>
      <c r="X104" s="15"/>
      <c r="Y104" s="15"/>
      <c r="Z104" s="15"/>
      <c r="AA104" s="15"/>
    </row>
    <row r="105" spans="1:27" ht="15" customHeight="1" x14ac:dyDescent="0.25">
      <c r="A105" s="15"/>
      <c r="B105" s="571"/>
      <c r="C105" s="126" t="s">
        <v>130</v>
      </c>
      <c r="D105" s="127" t="s">
        <v>131</v>
      </c>
      <c r="E105" s="128"/>
      <c r="F105" s="126" t="s">
        <v>130</v>
      </c>
      <c r="G105" s="127" t="s">
        <v>132</v>
      </c>
      <c r="H105" s="126" t="s">
        <v>130</v>
      </c>
      <c r="I105" s="127" t="s">
        <v>133</v>
      </c>
      <c r="J105" s="126" t="s">
        <v>130</v>
      </c>
      <c r="K105" s="127" t="s">
        <v>133</v>
      </c>
      <c r="L105" s="126" t="s">
        <v>130</v>
      </c>
      <c r="M105" s="128"/>
      <c r="N105" s="129" t="s">
        <v>132</v>
      </c>
      <c r="O105" s="574"/>
      <c r="P105" s="574"/>
      <c r="Q105" s="124"/>
      <c r="R105" s="124"/>
      <c r="S105" s="125"/>
      <c r="T105" s="15"/>
      <c r="U105" s="15"/>
      <c r="V105" s="15"/>
      <c r="W105" s="15"/>
      <c r="X105" s="15"/>
      <c r="Y105" s="15"/>
      <c r="Z105" s="15"/>
      <c r="AA105" s="15"/>
    </row>
    <row r="106" spans="1:27" ht="12.75" customHeight="1" x14ac:dyDescent="0.25">
      <c r="A106" s="15"/>
      <c r="B106" s="130" t="s">
        <v>134</v>
      </c>
      <c r="C106" s="131">
        <v>1</v>
      </c>
      <c r="D106" s="132">
        <f t="shared" ref="D106:D118" si="4">C106*$C$19</f>
        <v>80</v>
      </c>
      <c r="E106" s="133"/>
      <c r="F106" s="131">
        <v>1</v>
      </c>
      <c r="G106" s="132">
        <f t="shared" ref="G106:G118" si="5">F106*$C$21</f>
        <v>8</v>
      </c>
      <c r="H106" s="131">
        <v>1</v>
      </c>
      <c r="I106" s="132">
        <f t="shared" ref="I106:I118" si="6">H106*$C$22</f>
        <v>4</v>
      </c>
      <c r="J106" s="131">
        <v>1</v>
      </c>
      <c r="K106" s="132">
        <f t="shared" ref="K106:K118" si="7">J106*$C$20</f>
        <v>4</v>
      </c>
      <c r="L106" s="131">
        <v>1</v>
      </c>
      <c r="M106" s="134"/>
      <c r="N106" s="135">
        <f t="shared" ref="N106:N118" si="8">L106*$C$24</f>
        <v>8</v>
      </c>
      <c r="O106" s="136">
        <f t="shared" ref="O106:O118" si="9">D106+G106+I106+K106+N106</f>
        <v>104</v>
      </c>
      <c r="P106" s="136"/>
      <c r="Q106" s="124"/>
      <c r="R106" s="124"/>
      <c r="S106" s="125"/>
      <c r="T106" s="15"/>
      <c r="U106" s="15"/>
      <c r="V106" s="15"/>
      <c r="W106" s="15"/>
      <c r="X106" s="15"/>
      <c r="Y106" s="15"/>
      <c r="Z106" s="15"/>
      <c r="AA106" s="15"/>
    </row>
    <row r="107" spans="1:27" ht="12.75" customHeight="1" x14ac:dyDescent="0.25">
      <c r="A107" s="15"/>
      <c r="B107" s="130" t="s">
        <v>135</v>
      </c>
      <c r="C107" s="131">
        <v>6</v>
      </c>
      <c r="D107" s="132">
        <f t="shared" si="4"/>
        <v>480</v>
      </c>
      <c r="E107" s="133"/>
      <c r="F107" s="131">
        <v>6</v>
      </c>
      <c r="G107" s="132">
        <f t="shared" si="5"/>
        <v>48</v>
      </c>
      <c r="H107" s="131">
        <v>6</v>
      </c>
      <c r="I107" s="132">
        <f t="shared" si="6"/>
        <v>24</v>
      </c>
      <c r="J107" s="131">
        <v>6</v>
      </c>
      <c r="K107" s="132">
        <f t="shared" si="7"/>
        <v>24</v>
      </c>
      <c r="L107" s="131">
        <v>6</v>
      </c>
      <c r="M107" s="134"/>
      <c r="N107" s="135">
        <f t="shared" si="8"/>
        <v>48</v>
      </c>
      <c r="O107" s="136">
        <f t="shared" si="9"/>
        <v>624</v>
      </c>
      <c r="P107" s="136"/>
      <c r="Q107" s="124"/>
      <c r="R107" s="124"/>
      <c r="S107" s="125"/>
      <c r="T107" s="15"/>
      <c r="U107" s="15"/>
      <c r="V107" s="15"/>
      <c r="W107" s="15"/>
      <c r="X107" s="15"/>
      <c r="Y107" s="15"/>
      <c r="Z107" s="15"/>
      <c r="AA107" s="15"/>
    </row>
    <row r="108" spans="1:27" ht="12.75" customHeight="1" x14ac:dyDescent="0.25">
      <c r="A108" s="15"/>
      <c r="B108" s="130" t="s">
        <v>136</v>
      </c>
      <c r="C108" s="131">
        <v>6</v>
      </c>
      <c r="D108" s="132">
        <f t="shared" si="4"/>
        <v>480</v>
      </c>
      <c r="E108" s="133"/>
      <c r="F108" s="131">
        <v>6</v>
      </c>
      <c r="G108" s="132">
        <f t="shared" si="5"/>
        <v>48</v>
      </c>
      <c r="H108" s="131">
        <v>6</v>
      </c>
      <c r="I108" s="132">
        <f t="shared" si="6"/>
        <v>24</v>
      </c>
      <c r="J108" s="131">
        <v>6</v>
      </c>
      <c r="K108" s="132">
        <f t="shared" si="7"/>
        <v>24</v>
      </c>
      <c r="L108" s="131">
        <v>6</v>
      </c>
      <c r="M108" s="134"/>
      <c r="N108" s="135">
        <f t="shared" si="8"/>
        <v>48</v>
      </c>
      <c r="O108" s="136">
        <f t="shared" si="9"/>
        <v>624</v>
      </c>
      <c r="P108" s="136"/>
      <c r="Q108" s="124"/>
      <c r="R108" s="124"/>
      <c r="S108" s="125"/>
      <c r="T108" s="15"/>
      <c r="U108" s="15"/>
      <c r="V108" s="15"/>
      <c r="W108" s="15"/>
      <c r="X108" s="15"/>
      <c r="Y108" s="15"/>
      <c r="Z108" s="15"/>
      <c r="AA108" s="15"/>
    </row>
    <row r="109" spans="1:27" ht="30" customHeight="1" x14ac:dyDescent="0.25">
      <c r="A109" s="15"/>
      <c r="B109" s="130" t="s">
        <v>137</v>
      </c>
      <c r="C109" s="131">
        <v>6</v>
      </c>
      <c r="D109" s="132">
        <f t="shared" si="4"/>
        <v>480</v>
      </c>
      <c r="E109" s="133"/>
      <c r="F109" s="131">
        <v>6</v>
      </c>
      <c r="G109" s="132">
        <f t="shared" si="5"/>
        <v>48</v>
      </c>
      <c r="H109" s="131">
        <v>6</v>
      </c>
      <c r="I109" s="132">
        <f t="shared" si="6"/>
        <v>24</v>
      </c>
      <c r="J109" s="131">
        <v>6</v>
      </c>
      <c r="K109" s="132">
        <f t="shared" si="7"/>
        <v>24</v>
      </c>
      <c r="L109" s="131">
        <v>6</v>
      </c>
      <c r="M109" s="134"/>
      <c r="N109" s="135">
        <f t="shared" si="8"/>
        <v>48</v>
      </c>
      <c r="O109" s="136">
        <f t="shared" si="9"/>
        <v>624</v>
      </c>
      <c r="P109" s="136"/>
      <c r="Q109" s="124"/>
      <c r="R109" s="124"/>
      <c r="S109" s="125"/>
      <c r="T109" s="15"/>
      <c r="U109" s="15"/>
      <c r="V109" s="15"/>
      <c r="W109" s="15"/>
      <c r="X109" s="15"/>
      <c r="Y109" s="15"/>
      <c r="Z109" s="15"/>
      <c r="AA109" s="15"/>
    </row>
    <row r="110" spans="1:27" ht="15" customHeight="1" x14ac:dyDescent="0.25">
      <c r="A110" s="15"/>
      <c r="B110" s="130" t="s">
        <v>138</v>
      </c>
      <c r="C110" s="131">
        <v>3</v>
      </c>
      <c r="D110" s="132">
        <f t="shared" si="4"/>
        <v>240</v>
      </c>
      <c r="E110" s="133"/>
      <c r="F110" s="131">
        <v>0</v>
      </c>
      <c r="G110" s="132">
        <f t="shared" si="5"/>
        <v>0</v>
      </c>
      <c r="H110" s="131">
        <v>0</v>
      </c>
      <c r="I110" s="132">
        <f t="shared" si="6"/>
        <v>0</v>
      </c>
      <c r="J110" s="131">
        <v>3</v>
      </c>
      <c r="K110" s="132">
        <f t="shared" si="7"/>
        <v>12</v>
      </c>
      <c r="L110" s="131">
        <v>3</v>
      </c>
      <c r="M110" s="134"/>
      <c r="N110" s="135">
        <f t="shared" si="8"/>
        <v>24</v>
      </c>
      <c r="O110" s="136">
        <f t="shared" si="9"/>
        <v>276</v>
      </c>
      <c r="P110" s="136"/>
      <c r="Q110" s="124"/>
      <c r="R110" s="124"/>
      <c r="S110" s="125"/>
      <c r="T110" s="15"/>
      <c r="U110" s="15"/>
      <c r="V110" s="15"/>
      <c r="W110" s="15"/>
      <c r="X110" s="15"/>
      <c r="Y110" s="15"/>
      <c r="Z110" s="15"/>
      <c r="AA110" s="15"/>
    </row>
    <row r="111" spans="1:27" ht="15" customHeight="1" x14ac:dyDescent="0.25">
      <c r="A111" s="15"/>
      <c r="B111" s="130" t="s">
        <v>139</v>
      </c>
      <c r="C111" s="131">
        <v>3</v>
      </c>
      <c r="D111" s="132">
        <f t="shared" si="4"/>
        <v>240</v>
      </c>
      <c r="E111" s="133"/>
      <c r="F111" s="131">
        <v>1</v>
      </c>
      <c r="G111" s="132">
        <f t="shared" si="5"/>
        <v>8</v>
      </c>
      <c r="H111" s="131">
        <v>1</v>
      </c>
      <c r="I111" s="132">
        <f t="shared" si="6"/>
        <v>4</v>
      </c>
      <c r="J111" s="131">
        <v>3</v>
      </c>
      <c r="K111" s="132">
        <f t="shared" si="7"/>
        <v>12</v>
      </c>
      <c r="L111" s="131">
        <v>3</v>
      </c>
      <c r="M111" s="134"/>
      <c r="N111" s="135">
        <f t="shared" si="8"/>
        <v>24</v>
      </c>
      <c r="O111" s="136">
        <f t="shared" si="9"/>
        <v>288</v>
      </c>
      <c r="P111" s="136"/>
      <c r="Q111" s="124"/>
      <c r="R111" s="124"/>
      <c r="S111" s="125"/>
      <c r="T111" s="15"/>
      <c r="U111" s="15"/>
      <c r="V111" s="15"/>
      <c r="W111" s="15"/>
      <c r="X111" s="15"/>
      <c r="Y111" s="15"/>
      <c r="Z111" s="15"/>
      <c r="AA111" s="15"/>
    </row>
    <row r="112" spans="1:27" ht="15" customHeight="1" x14ac:dyDescent="0.25">
      <c r="A112" s="15"/>
      <c r="B112" s="130" t="s">
        <v>140</v>
      </c>
      <c r="C112" s="131">
        <v>12</v>
      </c>
      <c r="D112" s="132">
        <f t="shared" si="4"/>
        <v>960</v>
      </c>
      <c r="E112" s="133"/>
      <c r="F112" s="131">
        <v>0</v>
      </c>
      <c r="G112" s="132">
        <f t="shared" si="5"/>
        <v>0</v>
      </c>
      <c r="H112" s="131">
        <v>0</v>
      </c>
      <c r="I112" s="132">
        <f t="shared" si="6"/>
        <v>0</v>
      </c>
      <c r="J112" s="131">
        <v>0</v>
      </c>
      <c r="K112" s="132">
        <f t="shared" si="7"/>
        <v>0</v>
      </c>
      <c r="L112" s="131">
        <v>12</v>
      </c>
      <c r="M112" s="134"/>
      <c r="N112" s="135">
        <f t="shared" si="8"/>
        <v>96</v>
      </c>
      <c r="O112" s="136">
        <f t="shared" si="9"/>
        <v>1056</v>
      </c>
      <c r="P112" s="136"/>
      <c r="Q112" s="124"/>
      <c r="R112" s="124"/>
      <c r="S112" s="125"/>
      <c r="T112" s="15"/>
      <c r="U112" s="15"/>
      <c r="V112" s="15"/>
      <c r="W112" s="15"/>
      <c r="X112" s="15"/>
      <c r="Y112" s="15"/>
      <c r="Z112" s="15"/>
      <c r="AA112" s="15"/>
    </row>
    <row r="113" spans="1:27" ht="15" customHeight="1" x14ac:dyDescent="0.25">
      <c r="A113" s="15"/>
      <c r="B113" s="130" t="s">
        <v>141</v>
      </c>
      <c r="C113" s="131">
        <v>3</v>
      </c>
      <c r="D113" s="132">
        <f t="shared" si="4"/>
        <v>240</v>
      </c>
      <c r="E113" s="133"/>
      <c r="F113" s="131">
        <v>0</v>
      </c>
      <c r="G113" s="132">
        <f t="shared" si="5"/>
        <v>0</v>
      </c>
      <c r="H113" s="131">
        <v>0</v>
      </c>
      <c r="I113" s="132">
        <f t="shared" si="6"/>
        <v>0</v>
      </c>
      <c r="J113" s="131">
        <v>3</v>
      </c>
      <c r="K113" s="132">
        <f t="shared" si="7"/>
        <v>12</v>
      </c>
      <c r="L113" s="131">
        <v>0</v>
      </c>
      <c r="M113" s="134"/>
      <c r="N113" s="135">
        <f t="shared" si="8"/>
        <v>0</v>
      </c>
      <c r="O113" s="136">
        <f t="shared" si="9"/>
        <v>252</v>
      </c>
      <c r="P113" s="136"/>
      <c r="Q113" s="124"/>
      <c r="R113" s="124"/>
      <c r="S113" s="125"/>
      <c r="T113" s="15"/>
      <c r="U113" s="15"/>
      <c r="V113" s="15"/>
      <c r="W113" s="15"/>
      <c r="X113" s="15"/>
      <c r="Y113" s="15"/>
      <c r="Z113" s="15"/>
      <c r="AA113" s="15"/>
    </row>
    <row r="114" spans="1:27" ht="15" customHeight="1" x14ac:dyDescent="0.25">
      <c r="A114" s="15"/>
      <c r="B114" s="130" t="s">
        <v>142</v>
      </c>
      <c r="C114" s="131">
        <v>3</v>
      </c>
      <c r="D114" s="132">
        <f t="shared" si="4"/>
        <v>240</v>
      </c>
      <c r="E114" s="133"/>
      <c r="F114" s="131">
        <v>0</v>
      </c>
      <c r="G114" s="132">
        <f t="shared" si="5"/>
        <v>0</v>
      </c>
      <c r="H114" s="131">
        <v>0</v>
      </c>
      <c r="I114" s="132">
        <f t="shared" si="6"/>
        <v>0</v>
      </c>
      <c r="J114" s="131">
        <v>3</v>
      </c>
      <c r="K114" s="132">
        <f t="shared" si="7"/>
        <v>12</v>
      </c>
      <c r="L114" s="131">
        <v>0</v>
      </c>
      <c r="M114" s="134"/>
      <c r="N114" s="135">
        <f t="shared" si="8"/>
        <v>0</v>
      </c>
      <c r="O114" s="136">
        <f t="shared" si="9"/>
        <v>252</v>
      </c>
      <c r="P114" s="136"/>
      <c r="Q114" s="124"/>
      <c r="R114" s="124"/>
      <c r="S114" s="125"/>
      <c r="T114" s="15"/>
      <c r="U114" s="15"/>
      <c r="V114" s="15"/>
      <c r="W114" s="15"/>
      <c r="X114" s="15"/>
      <c r="Y114" s="15"/>
      <c r="Z114" s="15"/>
      <c r="AA114" s="15"/>
    </row>
    <row r="115" spans="1:27" ht="15.75" customHeight="1" x14ac:dyDescent="0.25">
      <c r="A115" s="44"/>
      <c r="B115" s="130" t="s">
        <v>143</v>
      </c>
      <c r="C115" s="131">
        <v>24</v>
      </c>
      <c r="D115" s="132">
        <f t="shared" si="4"/>
        <v>1920</v>
      </c>
      <c r="E115" s="133"/>
      <c r="F115" s="131">
        <v>0</v>
      </c>
      <c r="G115" s="132">
        <f t="shared" si="5"/>
        <v>0</v>
      </c>
      <c r="H115" s="131">
        <v>0</v>
      </c>
      <c r="I115" s="132">
        <f t="shared" si="6"/>
        <v>0</v>
      </c>
      <c r="J115" s="131">
        <v>0</v>
      </c>
      <c r="K115" s="132">
        <f t="shared" si="7"/>
        <v>0</v>
      </c>
      <c r="L115" s="131">
        <v>0</v>
      </c>
      <c r="M115" s="134"/>
      <c r="N115" s="135">
        <f t="shared" si="8"/>
        <v>0</v>
      </c>
      <c r="O115" s="136">
        <f t="shared" si="9"/>
        <v>1920</v>
      </c>
      <c r="P115" s="136"/>
      <c r="Q115" s="124"/>
      <c r="R115" s="124"/>
      <c r="S115" s="125"/>
      <c r="T115" s="44"/>
      <c r="U115" s="44"/>
      <c r="V115" s="44"/>
      <c r="W115" s="44"/>
      <c r="X115" s="44"/>
      <c r="Y115" s="44"/>
      <c r="Z115" s="44"/>
      <c r="AA115" s="44"/>
    </row>
    <row r="116" spans="1:27" ht="15.75" customHeight="1" x14ac:dyDescent="0.25">
      <c r="A116" s="15"/>
      <c r="B116" s="130" t="s">
        <v>144</v>
      </c>
      <c r="C116" s="131">
        <v>9</v>
      </c>
      <c r="D116" s="132">
        <f t="shared" si="4"/>
        <v>720</v>
      </c>
      <c r="E116" s="133"/>
      <c r="F116" s="131">
        <v>0</v>
      </c>
      <c r="G116" s="132">
        <f t="shared" si="5"/>
        <v>0</v>
      </c>
      <c r="H116" s="131">
        <v>0</v>
      </c>
      <c r="I116" s="132">
        <f t="shared" si="6"/>
        <v>0</v>
      </c>
      <c r="J116" s="131">
        <v>9</v>
      </c>
      <c r="K116" s="132">
        <f t="shared" si="7"/>
        <v>36</v>
      </c>
      <c r="L116" s="131">
        <v>9</v>
      </c>
      <c r="M116" s="134"/>
      <c r="N116" s="135">
        <f t="shared" si="8"/>
        <v>72</v>
      </c>
      <c r="O116" s="136">
        <f t="shared" si="9"/>
        <v>828</v>
      </c>
      <c r="P116" s="136"/>
      <c r="Q116" s="124"/>
      <c r="R116" s="124"/>
      <c r="S116" s="125"/>
      <c r="T116" s="15"/>
      <c r="U116" s="15"/>
      <c r="V116" s="15"/>
      <c r="W116" s="15"/>
      <c r="X116" s="15"/>
      <c r="Y116" s="15"/>
      <c r="Z116" s="15"/>
      <c r="AA116" s="15"/>
    </row>
    <row r="117" spans="1:27" ht="12.75" customHeight="1" x14ac:dyDescent="0.25">
      <c r="A117" s="15"/>
      <c r="B117" s="130" t="s">
        <v>145</v>
      </c>
      <c r="C117" s="131">
        <v>6</v>
      </c>
      <c r="D117" s="132">
        <f t="shared" si="4"/>
        <v>480</v>
      </c>
      <c r="E117" s="133"/>
      <c r="F117" s="131">
        <v>6</v>
      </c>
      <c r="G117" s="132">
        <f t="shared" si="5"/>
        <v>48</v>
      </c>
      <c r="H117" s="131">
        <v>6</v>
      </c>
      <c r="I117" s="132">
        <f t="shared" si="6"/>
        <v>24</v>
      </c>
      <c r="J117" s="131">
        <v>6</v>
      </c>
      <c r="K117" s="132">
        <f t="shared" si="7"/>
        <v>24</v>
      </c>
      <c r="L117" s="131">
        <v>6</v>
      </c>
      <c r="M117" s="134"/>
      <c r="N117" s="135">
        <f t="shared" si="8"/>
        <v>48</v>
      </c>
      <c r="O117" s="136">
        <f t="shared" si="9"/>
        <v>624</v>
      </c>
      <c r="P117" s="136"/>
      <c r="Q117" s="124"/>
      <c r="R117" s="124"/>
      <c r="S117" s="125"/>
      <c r="T117" s="15"/>
      <c r="U117" s="15"/>
      <c r="V117" s="15"/>
      <c r="W117" s="15"/>
      <c r="X117" s="15"/>
      <c r="Y117" s="15"/>
      <c r="Z117" s="15"/>
      <c r="AA117" s="15"/>
    </row>
    <row r="118" spans="1:27" ht="11.25" customHeight="1" x14ac:dyDescent="0.25">
      <c r="A118" s="15"/>
      <c r="B118" s="130" t="s">
        <v>146</v>
      </c>
      <c r="C118" s="131">
        <v>2</v>
      </c>
      <c r="D118" s="132">
        <f t="shared" si="4"/>
        <v>160</v>
      </c>
      <c r="E118" s="133"/>
      <c r="F118" s="131">
        <v>0</v>
      </c>
      <c r="G118" s="132">
        <f t="shared" si="5"/>
        <v>0</v>
      </c>
      <c r="H118" s="131">
        <v>0</v>
      </c>
      <c r="I118" s="132">
        <f t="shared" si="6"/>
        <v>0</v>
      </c>
      <c r="J118" s="131">
        <v>0</v>
      </c>
      <c r="K118" s="132">
        <f t="shared" si="7"/>
        <v>0</v>
      </c>
      <c r="L118" s="131">
        <v>0</v>
      </c>
      <c r="M118" s="134"/>
      <c r="N118" s="135">
        <f t="shared" si="8"/>
        <v>0</v>
      </c>
      <c r="O118" s="136">
        <f t="shared" si="9"/>
        <v>160</v>
      </c>
      <c r="P118" s="136"/>
      <c r="Q118" s="124"/>
      <c r="R118" s="124"/>
      <c r="S118" s="125"/>
      <c r="T118" s="15"/>
      <c r="U118" s="15"/>
      <c r="V118" s="15"/>
      <c r="W118" s="15"/>
      <c r="X118" s="15"/>
      <c r="Y118" s="15"/>
      <c r="Z118" s="15"/>
      <c r="AA118" s="15"/>
    </row>
    <row r="119" spans="1:27" ht="13.5" customHeight="1" x14ac:dyDescent="0.25">
      <c r="A119" s="15"/>
      <c r="B119" s="137" t="s">
        <v>147</v>
      </c>
      <c r="C119" s="575">
        <v>60</v>
      </c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138">
        <f>C119</f>
        <v>60</v>
      </c>
      <c r="P119" s="138">
        <f>O119/12</f>
        <v>5</v>
      </c>
      <c r="Q119" s="124" t="s">
        <v>148</v>
      </c>
      <c r="R119" s="124"/>
      <c r="S119" s="125"/>
      <c r="T119" s="15"/>
      <c r="U119" s="15"/>
      <c r="V119" s="15"/>
      <c r="W119" s="15"/>
      <c r="X119" s="15"/>
      <c r="Y119" s="15"/>
      <c r="Z119" s="15"/>
      <c r="AA119" s="15"/>
    </row>
    <row r="120" spans="1:27" ht="13.5" customHeight="1" x14ac:dyDescent="0.25">
      <c r="A120" s="15"/>
      <c r="B120" s="139" t="s">
        <v>149</v>
      </c>
      <c r="C120" s="576">
        <v>25</v>
      </c>
      <c r="D120" s="576"/>
      <c r="E120" s="576"/>
      <c r="F120" s="576"/>
      <c r="G120" s="576"/>
      <c r="H120" s="576"/>
      <c r="I120" s="576"/>
      <c r="J120" s="576"/>
      <c r="K120" s="576"/>
      <c r="L120" s="576"/>
      <c r="M120" s="576"/>
      <c r="N120" s="576"/>
      <c r="O120" s="140">
        <f>C120</f>
        <v>25</v>
      </c>
      <c r="P120" s="140">
        <f>O120/12</f>
        <v>2.0833333333333335</v>
      </c>
      <c r="Q120" s="124" t="s">
        <v>148</v>
      </c>
      <c r="R120" s="124"/>
      <c r="S120" s="125"/>
      <c r="T120" s="15"/>
      <c r="U120" s="15"/>
      <c r="V120" s="15"/>
      <c r="W120" s="15"/>
      <c r="X120" s="15"/>
      <c r="Y120" s="15"/>
      <c r="Z120" s="15"/>
      <c r="AA120" s="15"/>
    </row>
    <row r="121" spans="1:27" ht="12.75" customHeight="1" x14ac:dyDescent="0.25">
      <c r="A121" s="15"/>
      <c r="B121" s="577" t="s">
        <v>150</v>
      </c>
      <c r="C121" s="577"/>
      <c r="D121" s="141"/>
      <c r="E121" s="141"/>
      <c r="F121" s="142"/>
      <c r="G121" s="142"/>
      <c r="H121" s="17"/>
      <c r="I121" s="17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2.75" customHeight="1" x14ac:dyDescent="0.25">
      <c r="A122" s="15"/>
      <c r="B122" s="15"/>
      <c r="C122" s="141"/>
      <c r="D122" s="141"/>
      <c r="E122" s="141"/>
      <c r="F122" s="142"/>
      <c r="G122" s="142"/>
      <c r="H122" s="17"/>
      <c r="I122" s="17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2.75" customHeight="1" x14ac:dyDescent="0.25">
      <c r="A123" s="15"/>
      <c r="B123" s="46" t="s">
        <v>151</v>
      </c>
      <c r="C123" s="141"/>
      <c r="D123" s="141"/>
      <c r="E123" s="141"/>
      <c r="F123" s="142"/>
      <c r="G123" s="142"/>
      <c r="H123" s="17"/>
      <c r="I123" s="17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2.75" customHeight="1" x14ac:dyDescent="0.25">
      <c r="A124" s="15"/>
      <c r="B124" s="44"/>
      <c r="C124" s="143"/>
      <c r="D124" s="143"/>
      <c r="E124" s="143"/>
      <c r="F124" s="42"/>
      <c r="G124" s="42"/>
      <c r="H124" s="17"/>
      <c r="I124" s="17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2.75" customHeight="1" x14ac:dyDescent="0.25">
      <c r="A125" s="15"/>
      <c r="B125" s="571" t="s">
        <v>122</v>
      </c>
      <c r="C125" s="572" t="s">
        <v>123</v>
      </c>
      <c r="D125" s="572"/>
      <c r="E125" s="123"/>
      <c r="F125" s="572" t="s">
        <v>124</v>
      </c>
      <c r="G125" s="572"/>
      <c r="H125" s="578" t="s">
        <v>126</v>
      </c>
      <c r="I125" s="578"/>
      <c r="J125" s="574" t="s">
        <v>128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2.75" customHeight="1" x14ac:dyDescent="0.25">
      <c r="A126" s="15"/>
      <c r="B126" s="571"/>
      <c r="C126" s="126" t="s">
        <v>130</v>
      </c>
      <c r="D126" s="127" t="s">
        <v>152</v>
      </c>
      <c r="E126" s="128"/>
      <c r="F126" s="126" t="s">
        <v>130</v>
      </c>
      <c r="G126" s="127" t="s">
        <v>153</v>
      </c>
      <c r="H126" s="126" t="s">
        <v>130</v>
      </c>
      <c r="I126" s="144" t="s">
        <v>154</v>
      </c>
      <c r="J126" s="574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2.75" customHeight="1" x14ac:dyDescent="0.25">
      <c r="A127" s="15"/>
      <c r="B127" s="130" t="s">
        <v>134</v>
      </c>
      <c r="C127" s="131">
        <v>1</v>
      </c>
      <c r="D127" s="132">
        <f t="shared" ref="D127:D138" si="10">C127*$D$19</f>
        <v>60</v>
      </c>
      <c r="E127" s="133"/>
      <c r="F127" s="131">
        <v>1</v>
      </c>
      <c r="G127" s="132">
        <f t="shared" ref="G127:G138" si="11">F127*$D$21</f>
        <v>2</v>
      </c>
      <c r="H127" s="131">
        <v>1</v>
      </c>
      <c r="I127" s="145">
        <f t="shared" ref="I127:I138" si="12">H127*$D$20</f>
        <v>1</v>
      </c>
      <c r="J127" s="136">
        <f t="shared" ref="J127:J138" si="13">D127+G127+I127</f>
        <v>63</v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3.5" customHeight="1" x14ac:dyDescent="0.25">
      <c r="A128" s="15"/>
      <c r="B128" s="130" t="s">
        <v>135</v>
      </c>
      <c r="C128" s="131">
        <v>6</v>
      </c>
      <c r="D128" s="132">
        <f t="shared" si="10"/>
        <v>360</v>
      </c>
      <c r="E128" s="133"/>
      <c r="F128" s="131">
        <v>6</v>
      </c>
      <c r="G128" s="132">
        <f t="shared" si="11"/>
        <v>12</v>
      </c>
      <c r="H128" s="131">
        <v>6</v>
      </c>
      <c r="I128" s="145">
        <f t="shared" si="12"/>
        <v>6</v>
      </c>
      <c r="J128" s="136">
        <f t="shared" si="13"/>
        <v>378</v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2.75" customHeight="1" x14ac:dyDescent="0.25">
      <c r="A129" s="15"/>
      <c r="B129" s="130" t="s">
        <v>136</v>
      </c>
      <c r="C129" s="131">
        <v>6</v>
      </c>
      <c r="D129" s="132">
        <f t="shared" si="10"/>
        <v>360</v>
      </c>
      <c r="E129" s="133"/>
      <c r="F129" s="131">
        <v>6</v>
      </c>
      <c r="G129" s="132">
        <f t="shared" si="11"/>
        <v>12</v>
      </c>
      <c r="H129" s="131">
        <v>6</v>
      </c>
      <c r="I129" s="145">
        <f t="shared" si="12"/>
        <v>6</v>
      </c>
      <c r="J129" s="136">
        <f t="shared" si="13"/>
        <v>378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2.75" customHeight="1" x14ac:dyDescent="0.25">
      <c r="A130" s="15"/>
      <c r="B130" s="130" t="s">
        <v>137</v>
      </c>
      <c r="C130" s="131">
        <v>6</v>
      </c>
      <c r="D130" s="132">
        <f t="shared" si="10"/>
        <v>360</v>
      </c>
      <c r="E130" s="133"/>
      <c r="F130" s="131">
        <v>6</v>
      </c>
      <c r="G130" s="132">
        <f t="shared" si="11"/>
        <v>12</v>
      </c>
      <c r="H130" s="131">
        <v>6</v>
      </c>
      <c r="I130" s="145">
        <f t="shared" si="12"/>
        <v>6</v>
      </c>
      <c r="J130" s="136">
        <f t="shared" si="13"/>
        <v>378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1.25" customHeight="1" x14ac:dyDescent="0.25">
      <c r="A131" s="15"/>
      <c r="B131" s="130" t="s">
        <v>138</v>
      </c>
      <c r="C131" s="131">
        <v>3</v>
      </c>
      <c r="D131" s="132">
        <f t="shared" si="10"/>
        <v>180</v>
      </c>
      <c r="E131" s="133"/>
      <c r="F131" s="131">
        <v>0</v>
      </c>
      <c r="G131" s="132">
        <f t="shared" si="11"/>
        <v>0</v>
      </c>
      <c r="H131" s="131">
        <v>3</v>
      </c>
      <c r="I131" s="145">
        <f t="shared" si="12"/>
        <v>3</v>
      </c>
      <c r="J131" s="136">
        <f t="shared" si="13"/>
        <v>183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1.25" customHeight="1" x14ac:dyDescent="0.25">
      <c r="A132" s="15"/>
      <c r="B132" s="130" t="s">
        <v>139</v>
      </c>
      <c r="C132" s="131">
        <v>3</v>
      </c>
      <c r="D132" s="132">
        <f t="shared" si="10"/>
        <v>180</v>
      </c>
      <c r="E132" s="133"/>
      <c r="F132" s="131">
        <v>1</v>
      </c>
      <c r="G132" s="132">
        <f t="shared" si="11"/>
        <v>2</v>
      </c>
      <c r="H132" s="131">
        <v>3</v>
      </c>
      <c r="I132" s="145">
        <f t="shared" si="12"/>
        <v>3</v>
      </c>
      <c r="J132" s="136">
        <f t="shared" si="13"/>
        <v>185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1.25" customHeight="1" x14ac:dyDescent="0.25">
      <c r="A133" s="15"/>
      <c r="B133" s="130" t="s">
        <v>155</v>
      </c>
      <c r="C133" s="131">
        <v>1</v>
      </c>
      <c r="D133" s="132">
        <f t="shared" si="10"/>
        <v>60</v>
      </c>
      <c r="E133" s="133"/>
      <c r="F133" s="131">
        <v>0</v>
      </c>
      <c r="G133" s="132">
        <f t="shared" si="11"/>
        <v>0</v>
      </c>
      <c r="H133" s="131">
        <v>1</v>
      </c>
      <c r="I133" s="145">
        <f t="shared" si="12"/>
        <v>1</v>
      </c>
      <c r="J133" s="136">
        <f t="shared" si="13"/>
        <v>61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1.25" customHeight="1" x14ac:dyDescent="0.25">
      <c r="A134" s="15"/>
      <c r="B134" s="130" t="s">
        <v>141</v>
      </c>
      <c r="C134" s="131">
        <v>3</v>
      </c>
      <c r="D134" s="132">
        <f t="shared" si="10"/>
        <v>180</v>
      </c>
      <c r="E134" s="133"/>
      <c r="F134" s="131">
        <v>0</v>
      </c>
      <c r="G134" s="132">
        <f t="shared" si="11"/>
        <v>0</v>
      </c>
      <c r="H134" s="131">
        <v>3</v>
      </c>
      <c r="I134" s="145">
        <f t="shared" si="12"/>
        <v>3</v>
      </c>
      <c r="J134" s="136">
        <f t="shared" si="13"/>
        <v>183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1.25" customHeight="1" x14ac:dyDescent="0.25">
      <c r="A135" s="15"/>
      <c r="B135" s="130" t="s">
        <v>142</v>
      </c>
      <c r="C135" s="131">
        <v>3</v>
      </c>
      <c r="D135" s="132">
        <f t="shared" si="10"/>
        <v>180</v>
      </c>
      <c r="E135" s="133"/>
      <c r="F135" s="131">
        <v>0</v>
      </c>
      <c r="G135" s="132">
        <f t="shared" si="11"/>
        <v>0</v>
      </c>
      <c r="H135" s="131">
        <v>3</v>
      </c>
      <c r="I135" s="145">
        <f t="shared" si="12"/>
        <v>3</v>
      </c>
      <c r="J135" s="136">
        <f t="shared" si="13"/>
        <v>183</v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1.25" customHeight="1" x14ac:dyDescent="0.25">
      <c r="A136" s="15"/>
      <c r="B136" s="130" t="s">
        <v>143</v>
      </c>
      <c r="C136" s="131">
        <v>24</v>
      </c>
      <c r="D136" s="132">
        <f t="shared" si="10"/>
        <v>1440</v>
      </c>
      <c r="E136" s="133"/>
      <c r="F136" s="131">
        <v>0</v>
      </c>
      <c r="G136" s="132">
        <f t="shared" si="11"/>
        <v>0</v>
      </c>
      <c r="H136" s="131">
        <v>0</v>
      </c>
      <c r="I136" s="145">
        <f t="shared" si="12"/>
        <v>0</v>
      </c>
      <c r="J136" s="136">
        <f t="shared" si="13"/>
        <v>1440</v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1.25" customHeight="1" x14ac:dyDescent="0.25">
      <c r="A137" s="15"/>
      <c r="B137" s="130" t="s">
        <v>156</v>
      </c>
      <c r="C137" s="131">
        <v>12</v>
      </c>
      <c r="D137" s="132">
        <f t="shared" si="10"/>
        <v>720</v>
      </c>
      <c r="E137" s="133"/>
      <c r="F137" s="131">
        <v>0</v>
      </c>
      <c r="G137" s="132">
        <f t="shared" si="11"/>
        <v>0</v>
      </c>
      <c r="H137" s="131">
        <v>0</v>
      </c>
      <c r="I137" s="145">
        <f t="shared" si="12"/>
        <v>0</v>
      </c>
      <c r="J137" s="136">
        <f t="shared" si="13"/>
        <v>720</v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1.25" customHeight="1" x14ac:dyDescent="0.25">
      <c r="A138" s="15"/>
      <c r="B138" s="146" t="s">
        <v>145</v>
      </c>
      <c r="C138" s="147">
        <v>6</v>
      </c>
      <c r="D138" s="148">
        <f t="shared" si="10"/>
        <v>360</v>
      </c>
      <c r="E138" s="149"/>
      <c r="F138" s="147">
        <v>6</v>
      </c>
      <c r="G138" s="148">
        <f t="shared" si="11"/>
        <v>12</v>
      </c>
      <c r="H138" s="147">
        <v>6</v>
      </c>
      <c r="I138" s="150">
        <f t="shared" si="12"/>
        <v>6</v>
      </c>
      <c r="J138" s="151">
        <f t="shared" si="13"/>
        <v>378</v>
      </c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1.25" customHeight="1" x14ac:dyDescent="0.25">
      <c r="A139" s="15"/>
      <c r="B139" s="577" t="s">
        <v>150</v>
      </c>
      <c r="C139" s="577"/>
      <c r="D139" s="15"/>
      <c r="E139" s="15"/>
      <c r="F139" s="17"/>
      <c r="G139" s="17"/>
      <c r="H139" s="17"/>
      <c r="I139" s="17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2.75" customHeight="1" x14ac:dyDescent="0.25">
      <c r="A140" s="15"/>
      <c r="B140" s="46"/>
      <c r="C140" s="15"/>
      <c r="D140" s="15"/>
      <c r="E140" s="15"/>
      <c r="F140" s="17"/>
      <c r="G140" s="17"/>
      <c r="H140" s="17"/>
      <c r="I140" s="17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2.75" customHeight="1" x14ac:dyDescent="0.25">
      <c r="A141" s="15"/>
      <c r="B141" s="46" t="s">
        <v>157</v>
      </c>
      <c r="C141" s="15"/>
      <c r="D141" s="15"/>
      <c r="E141" s="15"/>
      <c r="F141" s="17"/>
      <c r="G141" s="17"/>
      <c r="H141" s="17"/>
      <c r="I141" s="17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2.75" customHeight="1" x14ac:dyDescent="0.25">
      <c r="A142" s="152"/>
      <c r="B142" s="153"/>
      <c r="C142" s="153"/>
      <c r="D142" s="153"/>
      <c r="E142" s="153"/>
      <c r="F142" s="154"/>
      <c r="G142" s="154"/>
      <c r="H142" s="154"/>
      <c r="I142" s="17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</row>
    <row r="143" spans="1:27" ht="12.75" customHeight="1" x14ac:dyDescent="0.25">
      <c r="A143" s="15"/>
      <c r="B143" s="571" t="s">
        <v>122</v>
      </c>
      <c r="C143" s="572" t="s">
        <v>123</v>
      </c>
      <c r="D143" s="572"/>
      <c r="E143" s="123"/>
      <c r="F143" s="572" t="s">
        <v>158</v>
      </c>
      <c r="G143" s="572"/>
      <c r="H143" s="574" t="s">
        <v>128</v>
      </c>
      <c r="I143" s="574" t="s">
        <v>129</v>
      </c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2.75" customHeight="1" x14ac:dyDescent="0.25">
      <c r="A144" s="15"/>
      <c r="B144" s="571"/>
      <c r="C144" s="126" t="s">
        <v>130</v>
      </c>
      <c r="D144" s="127" t="s">
        <v>159</v>
      </c>
      <c r="E144" s="128"/>
      <c r="F144" s="126" t="s">
        <v>130</v>
      </c>
      <c r="G144" s="127" t="s">
        <v>160</v>
      </c>
      <c r="H144" s="574"/>
      <c r="I144" s="574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2.75" customHeight="1" x14ac:dyDescent="0.25">
      <c r="A145" s="15"/>
      <c r="B145" s="130" t="s">
        <v>134</v>
      </c>
      <c r="C145" s="131">
        <v>1</v>
      </c>
      <c r="D145" s="132">
        <f t="shared" ref="D145:D156" si="14">C145*$F$19</f>
        <v>21</v>
      </c>
      <c r="E145" s="133"/>
      <c r="F145" s="131">
        <v>1</v>
      </c>
      <c r="G145" s="132">
        <f t="shared" ref="G145:G156" si="15">F145*$F$23</f>
        <v>3</v>
      </c>
      <c r="H145" s="136">
        <f t="shared" ref="H145:H156" si="16">D145+G145</f>
        <v>24</v>
      </c>
      <c r="I145" s="136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2.75" customHeight="1" x14ac:dyDescent="0.25">
      <c r="A146" s="15"/>
      <c r="B146" s="130" t="s">
        <v>135</v>
      </c>
      <c r="C146" s="131">
        <v>6</v>
      </c>
      <c r="D146" s="132">
        <f t="shared" si="14"/>
        <v>126</v>
      </c>
      <c r="E146" s="133"/>
      <c r="F146" s="131">
        <v>6</v>
      </c>
      <c r="G146" s="132">
        <f t="shared" si="15"/>
        <v>18</v>
      </c>
      <c r="H146" s="136">
        <f t="shared" si="16"/>
        <v>144</v>
      </c>
      <c r="I146" s="136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2.75" customHeight="1" x14ac:dyDescent="0.25">
      <c r="A147" s="44"/>
      <c r="B147" s="130" t="s">
        <v>136</v>
      </c>
      <c r="C147" s="131">
        <v>6</v>
      </c>
      <c r="D147" s="132">
        <f t="shared" si="14"/>
        <v>126</v>
      </c>
      <c r="E147" s="133"/>
      <c r="F147" s="131">
        <v>6</v>
      </c>
      <c r="G147" s="132">
        <f t="shared" si="15"/>
        <v>18</v>
      </c>
      <c r="H147" s="136">
        <f t="shared" si="16"/>
        <v>144</v>
      </c>
      <c r="I147" s="136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</row>
    <row r="148" spans="1:27" ht="12.75" customHeight="1" x14ac:dyDescent="0.25">
      <c r="A148" s="15"/>
      <c r="B148" s="130" t="s">
        <v>137</v>
      </c>
      <c r="C148" s="131">
        <v>6</v>
      </c>
      <c r="D148" s="132">
        <f t="shared" si="14"/>
        <v>126</v>
      </c>
      <c r="E148" s="133"/>
      <c r="F148" s="131">
        <v>6</v>
      </c>
      <c r="G148" s="132">
        <f t="shared" si="15"/>
        <v>18</v>
      </c>
      <c r="H148" s="136">
        <f t="shared" si="16"/>
        <v>144</v>
      </c>
      <c r="I148" s="136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2.75" customHeight="1" x14ac:dyDescent="0.25">
      <c r="A149" s="44"/>
      <c r="B149" s="130" t="s">
        <v>138</v>
      </c>
      <c r="C149" s="131">
        <v>3</v>
      </c>
      <c r="D149" s="132">
        <f t="shared" si="14"/>
        <v>63</v>
      </c>
      <c r="E149" s="133"/>
      <c r="F149" s="131">
        <v>1</v>
      </c>
      <c r="G149" s="132">
        <f t="shared" si="15"/>
        <v>3</v>
      </c>
      <c r="H149" s="136">
        <f t="shared" si="16"/>
        <v>66</v>
      </c>
      <c r="I149" s="136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</row>
    <row r="150" spans="1:27" ht="12.75" customHeight="1" x14ac:dyDescent="0.25">
      <c r="A150" s="15"/>
      <c r="B150" s="130" t="s">
        <v>139</v>
      </c>
      <c r="C150" s="131">
        <v>3</v>
      </c>
      <c r="D150" s="132">
        <f t="shared" si="14"/>
        <v>63</v>
      </c>
      <c r="E150" s="133"/>
      <c r="F150" s="131">
        <v>1</v>
      </c>
      <c r="G150" s="132">
        <f t="shared" si="15"/>
        <v>3</v>
      </c>
      <c r="H150" s="136">
        <f t="shared" si="16"/>
        <v>66</v>
      </c>
      <c r="I150" s="136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2.75" customHeight="1" x14ac:dyDescent="0.25">
      <c r="A151" s="15"/>
      <c r="B151" s="130" t="s">
        <v>155</v>
      </c>
      <c r="C151" s="131">
        <v>12</v>
      </c>
      <c r="D151" s="132">
        <f t="shared" si="14"/>
        <v>252</v>
      </c>
      <c r="E151" s="133"/>
      <c r="F151" s="131">
        <v>0</v>
      </c>
      <c r="G151" s="132">
        <f t="shared" si="15"/>
        <v>0</v>
      </c>
      <c r="H151" s="136">
        <f t="shared" si="16"/>
        <v>252</v>
      </c>
      <c r="I151" s="136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1.25" customHeight="1" x14ac:dyDescent="0.25">
      <c r="A152" s="15"/>
      <c r="B152" s="130" t="s">
        <v>141</v>
      </c>
      <c r="C152" s="131">
        <v>3</v>
      </c>
      <c r="D152" s="132">
        <f t="shared" si="14"/>
        <v>63</v>
      </c>
      <c r="E152" s="133"/>
      <c r="F152" s="131">
        <v>1</v>
      </c>
      <c r="G152" s="132">
        <f t="shared" si="15"/>
        <v>3</v>
      </c>
      <c r="H152" s="136">
        <f t="shared" si="16"/>
        <v>66</v>
      </c>
      <c r="I152" s="136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1.25" customHeight="1" x14ac:dyDescent="0.25">
      <c r="A153" s="15"/>
      <c r="B153" s="130" t="s">
        <v>142</v>
      </c>
      <c r="C153" s="131">
        <v>3</v>
      </c>
      <c r="D153" s="132">
        <f t="shared" si="14"/>
        <v>63</v>
      </c>
      <c r="E153" s="133"/>
      <c r="F153" s="131">
        <v>1</v>
      </c>
      <c r="G153" s="132">
        <f t="shared" si="15"/>
        <v>3</v>
      </c>
      <c r="H153" s="136">
        <f t="shared" si="16"/>
        <v>66</v>
      </c>
      <c r="I153" s="136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1.25" customHeight="1" x14ac:dyDescent="0.25">
      <c r="A154" s="15"/>
      <c r="B154" s="130" t="s">
        <v>143</v>
      </c>
      <c r="C154" s="131">
        <v>24</v>
      </c>
      <c r="D154" s="132">
        <f t="shared" si="14"/>
        <v>504</v>
      </c>
      <c r="E154" s="133"/>
      <c r="F154" s="131">
        <v>0</v>
      </c>
      <c r="G154" s="132">
        <f t="shared" si="15"/>
        <v>0</v>
      </c>
      <c r="H154" s="136">
        <f t="shared" si="16"/>
        <v>504</v>
      </c>
      <c r="I154" s="136"/>
      <c r="J154" s="152"/>
      <c r="K154" s="152"/>
      <c r="L154" s="152"/>
      <c r="M154" s="152"/>
      <c r="N154" s="152"/>
      <c r="O154" s="152"/>
      <c r="P154" s="152"/>
      <c r="Q154" s="152"/>
      <c r="R154" s="152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1.25" customHeight="1" x14ac:dyDescent="0.25">
      <c r="A155" s="15"/>
      <c r="B155" s="130" t="s">
        <v>156</v>
      </c>
      <c r="C155" s="131">
        <v>9</v>
      </c>
      <c r="D155" s="132">
        <f t="shared" si="14"/>
        <v>189</v>
      </c>
      <c r="E155" s="133"/>
      <c r="F155" s="131">
        <v>1</v>
      </c>
      <c r="G155" s="132">
        <f t="shared" si="15"/>
        <v>3</v>
      </c>
      <c r="H155" s="136">
        <f t="shared" si="16"/>
        <v>192</v>
      </c>
      <c r="I155" s="136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1.25" customHeight="1" x14ac:dyDescent="0.25">
      <c r="A156" s="15"/>
      <c r="B156" s="146" t="s">
        <v>145</v>
      </c>
      <c r="C156" s="155">
        <v>6</v>
      </c>
      <c r="D156" s="132">
        <f t="shared" si="14"/>
        <v>126</v>
      </c>
      <c r="E156" s="156"/>
      <c r="F156" s="155">
        <v>6</v>
      </c>
      <c r="G156" s="132">
        <f t="shared" si="15"/>
        <v>18</v>
      </c>
      <c r="H156" s="157">
        <f t="shared" si="16"/>
        <v>144</v>
      </c>
      <c r="I156" s="157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1.25" customHeight="1" x14ac:dyDescent="0.25">
      <c r="A157" s="15"/>
      <c r="B157" s="139" t="s">
        <v>147</v>
      </c>
      <c r="C157" s="579">
        <v>18</v>
      </c>
      <c r="D157" s="579"/>
      <c r="E157" s="579"/>
      <c r="F157" s="579"/>
      <c r="G157" s="579"/>
      <c r="H157" s="140">
        <f>D157+C157</f>
        <v>18</v>
      </c>
      <c r="I157" s="140">
        <f>H157/12</f>
        <v>1.5</v>
      </c>
      <c r="J157" s="15" t="s">
        <v>148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1.25" customHeight="1" x14ac:dyDescent="0.25">
      <c r="A158" s="15"/>
      <c r="B158" s="577" t="s">
        <v>150</v>
      </c>
      <c r="C158" s="577"/>
      <c r="D158" s="141"/>
      <c r="E158" s="141"/>
      <c r="F158" s="142"/>
      <c r="G158" s="142"/>
      <c r="H158" s="17"/>
      <c r="I158" s="17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1.25" customHeight="1" x14ac:dyDescent="0.25">
      <c r="A159" s="15"/>
      <c r="B159" s="15"/>
      <c r="C159" s="141"/>
      <c r="D159" s="141"/>
      <c r="E159" s="141"/>
      <c r="F159" s="142"/>
      <c r="G159" s="142"/>
      <c r="H159" s="17"/>
      <c r="I159" s="17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1.25" customHeight="1" x14ac:dyDescent="0.25">
      <c r="A160" s="15"/>
      <c r="B160" s="46" t="s">
        <v>161</v>
      </c>
      <c r="C160" s="153"/>
      <c r="D160" s="153"/>
      <c r="E160" s="153"/>
      <c r="F160" s="154"/>
      <c r="G160" s="154"/>
      <c r="H160" s="154"/>
      <c r="I160" s="15"/>
      <c r="J160" s="15"/>
      <c r="K160" s="15"/>
      <c r="L160" s="15"/>
      <c r="M160" s="44"/>
      <c r="N160" s="44"/>
      <c r="O160" s="44"/>
      <c r="P160" s="44"/>
      <c r="Q160" s="44"/>
      <c r="R160" s="44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1.25" customHeight="1" x14ac:dyDescent="0.25">
      <c r="A161" s="15"/>
      <c r="B161" s="15"/>
      <c r="C161" s="141"/>
      <c r="D161" s="158"/>
      <c r="E161" s="158"/>
      <c r="F161" s="17"/>
      <c r="G161" s="142"/>
      <c r="H161" s="17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1.25" customHeight="1" x14ac:dyDescent="0.25">
      <c r="A162" s="15"/>
      <c r="B162" s="571" t="s">
        <v>122</v>
      </c>
      <c r="C162" s="572" t="s">
        <v>27</v>
      </c>
      <c r="D162" s="572"/>
      <c r="E162" s="123"/>
      <c r="F162" s="572" t="s">
        <v>28</v>
      </c>
      <c r="G162" s="572"/>
      <c r="H162" s="572" t="s">
        <v>162</v>
      </c>
      <c r="I162" s="572"/>
      <c r="J162" s="572" t="s">
        <v>163</v>
      </c>
      <c r="K162" s="572"/>
      <c r="L162" s="574" t="s">
        <v>128</v>
      </c>
      <c r="M162" s="44"/>
      <c r="N162" s="44"/>
      <c r="O162" s="44"/>
      <c r="P162" s="44"/>
      <c r="Q162" s="44"/>
      <c r="R162" s="44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1.25" customHeight="1" x14ac:dyDescent="0.25">
      <c r="A163" s="15"/>
      <c r="B163" s="571"/>
      <c r="C163" s="126" t="s">
        <v>130</v>
      </c>
      <c r="D163" s="127" t="s">
        <v>154</v>
      </c>
      <c r="E163" s="128"/>
      <c r="F163" s="126" t="s">
        <v>130</v>
      </c>
      <c r="G163" s="127" t="s">
        <v>154</v>
      </c>
      <c r="H163" s="126" t="s">
        <v>130</v>
      </c>
      <c r="I163" s="127" t="s">
        <v>154</v>
      </c>
      <c r="J163" s="126" t="s">
        <v>130</v>
      </c>
      <c r="K163" s="127" t="s">
        <v>154</v>
      </c>
      <c r="L163" s="574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1.25" customHeight="1" x14ac:dyDescent="0.25">
      <c r="A164" s="15"/>
      <c r="B164" s="130" t="s">
        <v>134</v>
      </c>
      <c r="C164" s="131">
        <v>1</v>
      </c>
      <c r="D164" s="132">
        <f t="shared" ref="D164:D172" si="17">C164</f>
        <v>1</v>
      </c>
      <c r="E164" s="133"/>
      <c r="F164" s="131">
        <v>1</v>
      </c>
      <c r="G164" s="132">
        <f t="shared" ref="G164:G172" si="18">F164</f>
        <v>1</v>
      </c>
      <c r="H164" s="131">
        <v>1</v>
      </c>
      <c r="I164" s="132">
        <f t="shared" ref="I164:I172" si="19">H164</f>
        <v>1</v>
      </c>
      <c r="J164" s="131">
        <v>0</v>
      </c>
      <c r="K164" s="132">
        <f t="shared" ref="K164:K172" si="20">J164</f>
        <v>0</v>
      </c>
      <c r="L164" s="136">
        <f t="shared" ref="L164:L172" si="21">D164+G164+I164+K164</f>
        <v>3</v>
      </c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1.25" customHeight="1" x14ac:dyDescent="0.25">
      <c r="A165" s="15"/>
      <c r="B165" s="130" t="s">
        <v>135</v>
      </c>
      <c r="C165" s="131">
        <v>2</v>
      </c>
      <c r="D165" s="132">
        <f t="shared" si="17"/>
        <v>2</v>
      </c>
      <c r="E165" s="133"/>
      <c r="F165" s="131">
        <v>2</v>
      </c>
      <c r="G165" s="132">
        <f t="shared" si="18"/>
        <v>2</v>
      </c>
      <c r="H165" s="131">
        <v>2</v>
      </c>
      <c r="I165" s="132">
        <f t="shared" si="19"/>
        <v>2</v>
      </c>
      <c r="J165" s="131">
        <v>0</v>
      </c>
      <c r="K165" s="132">
        <f t="shared" si="20"/>
        <v>0</v>
      </c>
      <c r="L165" s="136">
        <f t="shared" si="21"/>
        <v>6</v>
      </c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2.75" customHeight="1" x14ac:dyDescent="0.25">
      <c r="A166" s="15"/>
      <c r="B166" s="130" t="s">
        <v>136</v>
      </c>
      <c r="C166" s="131">
        <v>2</v>
      </c>
      <c r="D166" s="132">
        <f t="shared" si="17"/>
        <v>2</v>
      </c>
      <c r="E166" s="133"/>
      <c r="F166" s="131">
        <v>2</v>
      </c>
      <c r="G166" s="132">
        <f t="shared" si="18"/>
        <v>2</v>
      </c>
      <c r="H166" s="131">
        <v>2</v>
      </c>
      <c r="I166" s="132">
        <f t="shared" si="19"/>
        <v>2</v>
      </c>
      <c r="J166" s="131">
        <v>0</v>
      </c>
      <c r="K166" s="132">
        <f t="shared" si="20"/>
        <v>0</v>
      </c>
      <c r="L166" s="136">
        <f t="shared" si="21"/>
        <v>6</v>
      </c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2.75" customHeight="1" x14ac:dyDescent="0.25">
      <c r="A167" s="15"/>
      <c r="B167" s="130" t="s">
        <v>137</v>
      </c>
      <c r="C167" s="131">
        <v>2</v>
      </c>
      <c r="D167" s="132">
        <f t="shared" si="17"/>
        <v>2</v>
      </c>
      <c r="E167" s="133"/>
      <c r="F167" s="131">
        <v>2</v>
      </c>
      <c r="G167" s="132">
        <f t="shared" si="18"/>
        <v>2</v>
      </c>
      <c r="H167" s="131">
        <v>2</v>
      </c>
      <c r="I167" s="132">
        <f t="shared" si="19"/>
        <v>2</v>
      </c>
      <c r="J167" s="131">
        <v>0</v>
      </c>
      <c r="K167" s="132">
        <f t="shared" si="20"/>
        <v>0</v>
      </c>
      <c r="L167" s="136">
        <f t="shared" si="21"/>
        <v>6</v>
      </c>
      <c r="M167" s="152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1.25" customHeight="1" x14ac:dyDescent="0.25">
      <c r="A168" s="15"/>
      <c r="B168" s="130" t="s">
        <v>138</v>
      </c>
      <c r="C168" s="131">
        <v>1</v>
      </c>
      <c r="D168" s="132">
        <f t="shared" si="17"/>
        <v>1</v>
      </c>
      <c r="E168" s="133"/>
      <c r="F168" s="131">
        <v>1</v>
      </c>
      <c r="G168" s="132">
        <f t="shared" si="18"/>
        <v>1</v>
      </c>
      <c r="H168" s="131">
        <v>1</v>
      </c>
      <c r="I168" s="132">
        <f t="shared" si="19"/>
        <v>1</v>
      </c>
      <c r="J168" s="131">
        <v>1</v>
      </c>
      <c r="K168" s="132">
        <f t="shared" si="20"/>
        <v>1</v>
      </c>
      <c r="L168" s="136">
        <f t="shared" si="21"/>
        <v>4</v>
      </c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1.25" customHeight="1" x14ac:dyDescent="0.25">
      <c r="A169" s="15"/>
      <c r="B169" s="130" t="s">
        <v>139</v>
      </c>
      <c r="C169" s="131">
        <v>1</v>
      </c>
      <c r="D169" s="132">
        <f t="shared" si="17"/>
        <v>1</v>
      </c>
      <c r="E169" s="133"/>
      <c r="F169" s="131">
        <v>1</v>
      </c>
      <c r="G169" s="132">
        <f t="shared" si="18"/>
        <v>1</v>
      </c>
      <c r="H169" s="131">
        <v>1</v>
      </c>
      <c r="I169" s="132">
        <f t="shared" si="19"/>
        <v>1</v>
      </c>
      <c r="J169" s="131">
        <v>1</v>
      </c>
      <c r="K169" s="132">
        <f t="shared" si="20"/>
        <v>1</v>
      </c>
      <c r="L169" s="136">
        <f t="shared" si="21"/>
        <v>4</v>
      </c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1.25" customHeight="1" x14ac:dyDescent="0.25">
      <c r="A170" s="15"/>
      <c r="B170" s="130" t="s">
        <v>140</v>
      </c>
      <c r="C170" s="131">
        <v>1</v>
      </c>
      <c r="D170" s="132">
        <f t="shared" si="17"/>
        <v>1</v>
      </c>
      <c r="E170" s="133"/>
      <c r="F170" s="131">
        <v>1</v>
      </c>
      <c r="G170" s="132">
        <f t="shared" si="18"/>
        <v>1</v>
      </c>
      <c r="H170" s="131">
        <v>1</v>
      </c>
      <c r="I170" s="132">
        <f t="shared" si="19"/>
        <v>1</v>
      </c>
      <c r="J170" s="131">
        <v>1</v>
      </c>
      <c r="K170" s="132">
        <f t="shared" si="20"/>
        <v>1</v>
      </c>
      <c r="L170" s="136">
        <f t="shared" si="21"/>
        <v>4</v>
      </c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1.25" customHeight="1" x14ac:dyDescent="0.25">
      <c r="A171" s="15"/>
      <c r="B171" s="130" t="s">
        <v>144</v>
      </c>
      <c r="C171" s="131">
        <v>3</v>
      </c>
      <c r="D171" s="132">
        <f t="shared" si="17"/>
        <v>3</v>
      </c>
      <c r="E171" s="133"/>
      <c r="F171" s="131">
        <v>1</v>
      </c>
      <c r="G171" s="132">
        <f t="shared" si="18"/>
        <v>1</v>
      </c>
      <c r="H171" s="131">
        <v>1</v>
      </c>
      <c r="I171" s="132">
        <f t="shared" si="19"/>
        <v>1</v>
      </c>
      <c r="J171" s="131">
        <v>1</v>
      </c>
      <c r="K171" s="132">
        <f t="shared" si="20"/>
        <v>1</v>
      </c>
      <c r="L171" s="136">
        <f t="shared" si="21"/>
        <v>6</v>
      </c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1.25" customHeight="1" x14ac:dyDescent="0.25">
      <c r="A172" s="15"/>
      <c r="B172" s="130" t="s">
        <v>145</v>
      </c>
      <c r="C172" s="131">
        <v>1</v>
      </c>
      <c r="D172" s="132">
        <f t="shared" si="17"/>
        <v>1</v>
      </c>
      <c r="E172" s="133"/>
      <c r="F172" s="131">
        <v>1</v>
      </c>
      <c r="G172" s="132">
        <f t="shared" si="18"/>
        <v>1</v>
      </c>
      <c r="H172" s="131">
        <v>1</v>
      </c>
      <c r="I172" s="132">
        <f t="shared" si="19"/>
        <v>1</v>
      </c>
      <c r="J172" s="131">
        <v>1</v>
      </c>
      <c r="K172" s="132">
        <f t="shared" si="20"/>
        <v>1</v>
      </c>
      <c r="L172" s="136">
        <f t="shared" si="21"/>
        <v>4</v>
      </c>
      <c r="M172" s="44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1.25" customHeight="1" x14ac:dyDescent="0.25">
      <c r="A173" s="15"/>
      <c r="B173" s="577" t="s">
        <v>164</v>
      </c>
      <c r="C173" s="577"/>
      <c r="D173" s="15"/>
      <c r="E173" s="15"/>
      <c r="F173" s="17"/>
      <c r="G173" s="17"/>
      <c r="H173" s="43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1.25" customHeight="1" x14ac:dyDescent="0.25">
      <c r="A174" s="15"/>
      <c r="B174" s="101"/>
      <c r="C174" s="96"/>
      <c r="D174" s="124"/>
      <c r="E174" s="124"/>
      <c r="F174" s="96"/>
      <c r="G174" s="124"/>
      <c r="H174" s="159"/>
      <c r="I174" s="159"/>
      <c r="J174" s="159"/>
      <c r="K174" s="159"/>
      <c r="L174" s="44"/>
      <c r="M174" s="44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1.25" customHeight="1" x14ac:dyDescent="0.25">
      <c r="A175" s="15"/>
      <c r="B175" s="101"/>
      <c r="C175" s="96"/>
      <c r="D175" s="124"/>
      <c r="E175" s="124"/>
      <c r="F175" s="96"/>
      <c r="G175" s="124"/>
      <c r="H175" s="159"/>
      <c r="I175" s="159"/>
      <c r="J175" s="159"/>
      <c r="K175" s="159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1.25" customHeight="1" x14ac:dyDescent="0.25">
      <c r="A176" s="15"/>
      <c r="B176" s="46" t="s">
        <v>165</v>
      </c>
      <c r="C176" s="141"/>
      <c r="D176" s="141"/>
      <c r="E176" s="141"/>
      <c r="F176" s="142"/>
      <c r="G176" s="142"/>
      <c r="H176" s="17"/>
      <c r="I176" s="17"/>
      <c r="J176" s="15"/>
      <c r="K176" s="159"/>
      <c r="L176" s="44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1.25" customHeight="1" x14ac:dyDescent="0.25">
      <c r="A177" s="15"/>
      <c r="B177" s="44"/>
      <c r="C177" s="143"/>
      <c r="D177" s="143"/>
      <c r="E177" s="143"/>
      <c r="F177" s="42"/>
      <c r="G177" s="42"/>
      <c r="H177" s="17"/>
      <c r="I177" s="17"/>
      <c r="J177" s="15"/>
      <c r="K177" s="159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1.25" customHeight="1" x14ac:dyDescent="0.25">
      <c r="A178" s="15"/>
      <c r="B178" s="571" t="s">
        <v>122</v>
      </c>
      <c r="C178" s="572" t="s">
        <v>123</v>
      </c>
      <c r="D178" s="572"/>
      <c r="E178" s="123"/>
      <c r="F178" s="572" t="s">
        <v>124</v>
      </c>
      <c r="G178" s="572"/>
      <c r="H178" s="574" t="s">
        <v>128</v>
      </c>
      <c r="I178" s="124"/>
      <c r="J178" s="568"/>
      <c r="K178" s="159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2.75" customHeight="1" x14ac:dyDescent="0.25">
      <c r="A179" s="15"/>
      <c r="B179" s="571"/>
      <c r="C179" s="126" t="s">
        <v>130</v>
      </c>
      <c r="D179" s="127" t="s">
        <v>153</v>
      </c>
      <c r="E179" s="128"/>
      <c r="F179" s="126" t="s">
        <v>130</v>
      </c>
      <c r="G179" s="127" t="s">
        <v>154</v>
      </c>
      <c r="H179" s="574"/>
      <c r="I179" s="124"/>
      <c r="J179" s="568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2.75" customHeight="1" x14ac:dyDescent="0.25">
      <c r="A180" s="15"/>
      <c r="B180" s="130" t="s">
        <v>134</v>
      </c>
      <c r="C180" s="131">
        <v>1</v>
      </c>
      <c r="D180" s="132">
        <f t="shared" ref="D180:D191" si="22">C180*$E$19</f>
        <v>2</v>
      </c>
      <c r="E180" s="133"/>
      <c r="F180" s="131">
        <v>1</v>
      </c>
      <c r="G180" s="132">
        <f t="shared" ref="G180:G191" si="23">F180*$E$21</f>
        <v>1</v>
      </c>
      <c r="H180" s="136">
        <f t="shared" ref="H180:H191" si="24">D180+G180</f>
        <v>3</v>
      </c>
      <c r="I180" s="124"/>
      <c r="J180" s="124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2.75" customHeight="1" x14ac:dyDescent="0.25">
      <c r="A181" s="15"/>
      <c r="B181" s="130" t="s">
        <v>135</v>
      </c>
      <c r="C181" s="131">
        <v>6</v>
      </c>
      <c r="D181" s="132">
        <f t="shared" si="22"/>
        <v>12</v>
      </c>
      <c r="E181" s="133"/>
      <c r="F181" s="131">
        <v>6</v>
      </c>
      <c r="G181" s="132">
        <f t="shared" si="23"/>
        <v>6</v>
      </c>
      <c r="H181" s="136">
        <f t="shared" si="24"/>
        <v>18</v>
      </c>
      <c r="I181" s="124"/>
      <c r="J181" s="124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2.75" customHeight="1" x14ac:dyDescent="0.25">
      <c r="A182" s="15"/>
      <c r="B182" s="130" t="s">
        <v>136</v>
      </c>
      <c r="C182" s="131">
        <v>6</v>
      </c>
      <c r="D182" s="132">
        <f t="shared" si="22"/>
        <v>12</v>
      </c>
      <c r="E182" s="133"/>
      <c r="F182" s="131">
        <v>6</v>
      </c>
      <c r="G182" s="132">
        <f t="shared" si="23"/>
        <v>6</v>
      </c>
      <c r="H182" s="136">
        <f t="shared" si="24"/>
        <v>18</v>
      </c>
      <c r="I182" s="124"/>
      <c r="J182" s="124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2.75" customHeight="1" x14ac:dyDescent="0.25">
      <c r="A183" s="15"/>
      <c r="B183" s="130" t="s">
        <v>137</v>
      </c>
      <c r="C183" s="131">
        <v>6</v>
      </c>
      <c r="D183" s="132">
        <f t="shared" si="22"/>
        <v>12</v>
      </c>
      <c r="E183" s="133"/>
      <c r="F183" s="131">
        <v>6</v>
      </c>
      <c r="G183" s="132">
        <f t="shared" si="23"/>
        <v>6</v>
      </c>
      <c r="H183" s="136">
        <f t="shared" si="24"/>
        <v>18</v>
      </c>
      <c r="I183" s="124"/>
      <c r="J183" s="124"/>
      <c r="K183" s="124"/>
      <c r="L183" s="568"/>
      <c r="M183" s="124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2.75" customHeight="1" x14ac:dyDescent="0.25">
      <c r="A184" s="15"/>
      <c r="B184" s="130" t="s">
        <v>138</v>
      </c>
      <c r="C184" s="131">
        <v>3</v>
      </c>
      <c r="D184" s="132">
        <f t="shared" si="22"/>
        <v>6</v>
      </c>
      <c r="E184" s="133"/>
      <c r="F184" s="131">
        <v>0</v>
      </c>
      <c r="G184" s="132">
        <f t="shared" si="23"/>
        <v>0</v>
      </c>
      <c r="H184" s="136">
        <f t="shared" si="24"/>
        <v>6</v>
      </c>
      <c r="I184" s="124"/>
      <c r="J184" s="124"/>
      <c r="K184" s="124"/>
      <c r="L184" s="568"/>
      <c r="M184" s="124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2.75" customHeight="1" x14ac:dyDescent="0.25">
      <c r="A185" s="15"/>
      <c r="B185" s="130" t="s">
        <v>139</v>
      </c>
      <c r="C185" s="131">
        <v>3</v>
      </c>
      <c r="D185" s="132">
        <f t="shared" si="22"/>
        <v>6</v>
      </c>
      <c r="E185" s="133"/>
      <c r="F185" s="131">
        <v>1</v>
      </c>
      <c r="G185" s="132">
        <f t="shared" si="23"/>
        <v>1</v>
      </c>
      <c r="H185" s="136">
        <f t="shared" si="24"/>
        <v>7</v>
      </c>
      <c r="I185" s="124"/>
      <c r="J185" s="124"/>
      <c r="K185" s="124"/>
      <c r="L185" s="124"/>
      <c r="M185" s="124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2.75" customHeight="1" x14ac:dyDescent="0.25">
      <c r="A186" s="15"/>
      <c r="B186" s="130" t="s">
        <v>155</v>
      </c>
      <c r="C186" s="131">
        <v>1</v>
      </c>
      <c r="D186" s="132">
        <f t="shared" si="22"/>
        <v>2</v>
      </c>
      <c r="E186" s="133"/>
      <c r="F186" s="131">
        <v>0</v>
      </c>
      <c r="G186" s="132">
        <f t="shared" si="23"/>
        <v>0</v>
      </c>
      <c r="H186" s="136">
        <f t="shared" si="24"/>
        <v>2</v>
      </c>
      <c r="I186" s="124"/>
      <c r="J186" s="124"/>
      <c r="K186" s="124"/>
      <c r="L186" s="124"/>
      <c r="M186" s="124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2.75" customHeight="1" x14ac:dyDescent="0.25">
      <c r="A187" s="15"/>
      <c r="B187" s="130" t="s">
        <v>141</v>
      </c>
      <c r="C187" s="131">
        <v>3</v>
      </c>
      <c r="D187" s="132">
        <f t="shared" si="22"/>
        <v>6</v>
      </c>
      <c r="E187" s="133"/>
      <c r="F187" s="131">
        <v>0</v>
      </c>
      <c r="G187" s="132">
        <f t="shared" si="23"/>
        <v>0</v>
      </c>
      <c r="H187" s="136">
        <f t="shared" si="24"/>
        <v>6</v>
      </c>
      <c r="I187" s="124"/>
      <c r="J187" s="124"/>
      <c r="K187" s="124"/>
      <c r="L187" s="124"/>
      <c r="M187" s="124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2.75" customHeight="1" x14ac:dyDescent="0.25">
      <c r="A188" s="15"/>
      <c r="B188" s="130" t="s">
        <v>142</v>
      </c>
      <c r="C188" s="131">
        <v>3</v>
      </c>
      <c r="D188" s="132">
        <f t="shared" si="22"/>
        <v>6</v>
      </c>
      <c r="E188" s="133"/>
      <c r="F188" s="131">
        <v>0</v>
      </c>
      <c r="G188" s="132">
        <f t="shared" si="23"/>
        <v>0</v>
      </c>
      <c r="H188" s="136">
        <f t="shared" si="24"/>
        <v>6</v>
      </c>
      <c r="I188" s="124"/>
      <c r="J188" s="124"/>
      <c r="K188" s="124"/>
      <c r="L188" s="124"/>
      <c r="M188" s="124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2.75" customHeight="1" x14ac:dyDescent="0.25">
      <c r="A189" s="15"/>
      <c r="B189" s="130" t="s">
        <v>143</v>
      </c>
      <c r="C189" s="131">
        <v>24</v>
      </c>
      <c r="D189" s="132">
        <f t="shared" si="22"/>
        <v>48</v>
      </c>
      <c r="E189" s="133"/>
      <c r="F189" s="131">
        <v>0</v>
      </c>
      <c r="G189" s="132">
        <f t="shared" si="23"/>
        <v>0</v>
      </c>
      <c r="H189" s="136">
        <f t="shared" si="24"/>
        <v>48</v>
      </c>
      <c r="I189" s="124"/>
      <c r="J189" s="124"/>
      <c r="K189" s="124"/>
      <c r="L189" s="124"/>
      <c r="M189" s="124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1.25" customHeight="1" x14ac:dyDescent="0.25">
      <c r="A190" s="15"/>
      <c r="B190" s="130" t="s">
        <v>156</v>
      </c>
      <c r="C190" s="131">
        <v>12</v>
      </c>
      <c r="D190" s="132">
        <f t="shared" si="22"/>
        <v>24</v>
      </c>
      <c r="E190" s="133"/>
      <c r="F190" s="131">
        <v>0</v>
      </c>
      <c r="G190" s="132">
        <f t="shared" si="23"/>
        <v>0</v>
      </c>
      <c r="H190" s="136">
        <f t="shared" si="24"/>
        <v>24</v>
      </c>
      <c r="I190" s="124"/>
      <c r="J190" s="124"/>
      <c r="K190" s="124"/>
      <c r="L190" s="124"/>
      <c r="M190" s="124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2.75" customHeight="1" x14ac:dyDescent="0.25">
      <c r="A191" s="15"/>
      <c r="B191" s="146" t="s">
        <v>145</v>
      </c>
      <c r="C191" s="147">
        <v>6</v>
      </c>
      <c r="D191" s="132">
        <f t="shared" si="22"/>
        <v>12</v>
      </c>
      <c r="E191" s="149"/>
      <c r="F191" s="147">
        <v>6</v>
      </c>
      <c r="G191" s="132">
        <f t="shared" si="23"/>
        <v>6</v>
      </c>
      <c r="H191" s="136">
        <f t="shared" si="24"/>
        <v>18</v>
      </c>
      <c r="I191" s="124"/>
      <c r="J191" s="124"/>
      <c r="K191" s="124"/>
      <c r="L191" s="124"/>
      <c r="M191" s="124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2.75" customHeight="1" x14ac:dyDescent="0.25">
      <c r="A192" s="15"/>
      <c r="B192" s="577" t="s">
        <v>150</v>
      </c>
      <c r="C192" s="577"/>
      <c r="D192" s="15"/>
      <c r="E192" s="15"/>
      <c r="F192" s="17"/>
      <c r="G192" s="17"/>
      <c r="H192" s="17"/>
      <c r="I192" s="17"/>
      <c r="J192" s="15"/>
      <c r="K192" s="124"/>
      <c r="L192" s="124"/>
      <c r="M192" s="124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2.75" customHeight="1" x14ac:dyDescent="0.25">
      <c r="A193" s="15"/>
      <c r="B193" s="101"/>
      <c r="C193" s="96"/>
      <c r="D193" s="124"/>
      <c r="E193" s="124"/>
      <c r="F193" s="96"/>
      <c r="G193" s="124"/>
      <c r="H193" s="96"/>
      <c r="I193" s="124"/>
      <c r="J193" s="96"/>
      <c r="K193" s="124"/>
      <c r="L193" s="124"/>
      <c r="M193" s="124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2.75" customHeight="1" x14ac:dyDescent="0.25">
      <c r="A194" s="15"/>
      <c r="B194" s="15"/>
      <c r="C194" s="15"/>
      <c r="D194" s="15"/>
      <c r="E194" s="15"/>
      <c r="F194" s="17"/>
      <c r="G194" s="17"/>
      <c r="H194" s="43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2.75" customHeight="1" x14ac:dyDescent="0.25">
      <c r="A195" s="15"/>
      <c r="B195" s="46" t="s">
        <v>166</v>
      </c>
      <c r="C195" s="15"/>
      <c r="D195" s="15"/>
      <c r="E195" s="15"/>
      <c r="F195" s="17"/>
      <c r="G195" s="17"/>
      <c r="H195" s="17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2.75" customHeight="1" x14ac:dyDescent="0.25">
      <c r="A196" s="15"/>
      <c r="B196" s="15"/>
      <c r="C196" s="15"/>
      <c r="D196" s="15"/>
      <c r="E196" s="15"/>
      <c r="F196" s="17"/>
      <c r="G196" s="17"/>
      <c r="H196" s="17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5.75" customHeight="1" x14ac:dyDescent="0.25">
      <c r="A197" s="15"/>
      <c r="B197" s="160" t="s">
        <v>1</v>
      </c>
      <c r="C197" s="161" t="s">
        <v>167</v>
      </c>
      <c r="D197" s="161" t="s">
        <v>103</v>
      </c>
      <c r="E197" s="161" t="s">
        <v>168</v>
      </c>
      <c r="F197" s="580" t="s">
        <v>53</v>
      </c>
      <c r="G197" s="580"/>
      <c r="H197" s="580"/>
      <c r="I197" s="17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25.5" customHeight="1" x14ac:dyDescent="0.25">
      <c r="A198" s="15"/>
      <c r="B198" s="162" t="s">
        <v>134</v>
      </c>
      <c r="C198" s="163" t="s">
        <v>169</v>
      </c>
      <c r="D198" s="164" t="s">
        <v>103</v>
      </c>
      <c r="E198" s="165"/>
      <c r="F198" s="581" t="s">
        <v>170</v>
      </c>
      <c r="G198" s="581"/>
      <c r="H198" s="581"/>
      <c r="I198" s="124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25.5" customHeight="1" x14ac:dyDescent="0.25">
      <c r="A199" s="15"/>
      <c r="B199" s="166" t="s">
        <v>135</v>
      </c>
      <c r="C199" s="167" t="s">
        <v>169</v>
      </c>
      <c r="D199" s="167" t="s">
        <v>103</v>
      </c>
      <c r="E199" s="168"/>
      <c r="F199" s="582" t="s">
        <v>170</v>
      </c>
      <c r="G199" s="582"/>
      <c r="H199" s="582"/>
      <c r="I199" s="124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25.5" customHeight="1" x14ac:dyDescent="0.25">
      <c r="A200" s="15"/>
      <c r="B200" s="166" t="s">
        <v>136</v>
      </c>
      <c r="C200" s="167" t="s">
        <v>169</v>
      </c>
      <c r="D200" s="167" t="s">
        <v>103</v>
      </c>
      <c r="E200" s="169"/>
      <c r="F200" s="582" t="s">
        <v>170</v>
      </c>
      <c r="G200" s="582"/>
      <c r="H200" s="582"/>
      <c r="I200" s="124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25.5" customHeight="1" x14ac:dyDescent="0.25">
      <c r="A201" s="15"/>
      <c r="B201" s="166" t="s">
        <v>137</v>
      </c>
      <c r="C201" s="167" t="s">
        <v>169</v>
      </c>
      <c r="D201" s="167" t="s">
        <v>103</v>
      </c>
      <c r="E201" s="169"/>
      <c r="F201" s="582" t="s">
        <v>170</v>
      </c>
      <c r="G201" s="582"/>
      <c r="H201" s="582"/>
      <c r="I201" s="124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2.75" customHeight="1" x14ac:dyDescent="0.25">
      <c r="A202" s="15"/>
      <c r="B202" s="166" t="s">
        <v>138</v>
      </c>
      <c r="C202" s="167" t="s">
        <v>169</v>
      </c>
      <c r="D202" s="167" t="s">
        <v>103</v>
      </c>
      <c r="E202" s="169"/>
      <c r="F202" s="582" t="s">
        <v>170</v>
      </c>
      <c r="G202" s="582"/>
      <c r="H202" s="582"/>
      <c r="I202" s="124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2.75" customHeight="1" x14ac:dyDescent="0.25">
      <c r="A203" s="15"/>
      <c r="B203" s="166" t="s">
        <v>139</v>
      </c>
      <c r="C203" s="167" t="s">
        <v>169</v>
      </c>
      <c r="D203" s="167" t="s">
        <v>103</v>
      </c>
      <c r="E203" s="169"/>
      <c r="F203" s="582" t="s">
        <v>170</v>
      </c>
      <c r="G203" s="582"/>
      <c r="H203" s="582"/>
      <c r="I203" s="124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2.75" customHeight="1" x14ac:dyDescent="0.25">
      <c r="A204" s="15"/>
      <c r="B204" s="166" t="s">
        <v>140</v>
      </c>
      <c r="C204" s="167" t="s">
        <v>169</v>
      </c>
      <c r="D204" s="167" t="s">
        <v>103</v>
      </c>
      <c r="E204" s="169"/>
      <c r="F204" s="582" t="s">
        <v>170</v>
      </c>
      <c r="G204" s="582"/>
      <c r="H204" s="582"/>
      <c r="I204" s="124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2.75" customHeight="1" x14ac:dyDescent="0.25">
      <c r="A205" s="15"/>
      <c r="B205" s="166" t="s">
        <v>141</v>
      </c>
      <c r="C205" s="167" t="s">
        <v>169</v>
      </c>
      <c r="D205" s="167" t="s">
        <v>103</v>
      </c>
      <c r="E205" s="169"/>
      <c r="F205" s="582" t="s">
        <v>170</v>
      </c>
      <c r="G205" s="582"/>
      <c r="H205" s="582"/>
      <c r="I205" s="124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2.75" customHeight="1" x14ac:dyDescent="0.25">
      <c r="A206" s="15"/>
      <c r="B206" s="166" t="s">
        <v>142</v>
      </c>
      <c r="C206" s="167" t="s">
        <v>169</v>
      </c>
      <c r="D206" s="167" t="s">
        <v>103</v>
      </c>
      <c r="E206" s="169"/>
      <c r="F206" s="582" t="s">
        <v>170</v>
      </c>
      <c r="G206" s="582"/>
      <c r="H206" s="582"/>
      <c r="I206" s="124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2.75" customHeight="1" x14ac:dyDescent="0.25">
      <c r="A207" s="15"/>
      <c r="B207" s="166" t="s">
        <v>143</v>
      </c>
      <c r="C207" s="167" t="s">
        <v>169</v>
      </c>
      <c r="D207" s="167" t="s">
        <v>103</v>
      </c>
      <c r="E207" s="169"/>
      <c r="F207" s="582" t="s">
        <v>170</v>
      </c>
      <c r="G207" s="582"/>
      <c r="H207" s="582"/>
      <c r="I207" s="124"/>
      <c r="J207" s="17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2.75" customHeight="1" x14ac:dyDescent="0.25">
      <c r="A208" s="15"/>
      <c r="B208" s="166" t="s">
        <v>144</v>
      </c>
      <c r="C208" s="167" t="s">
        <v>169</v>
      </c>
      <c r="D208" s="167" t="s">
        <v>103</v>
      </c>
      <c r="E208" s="169"/>
      <c r="F208" s="582" t="s">
        <v>170</v>
      </c>
      <c r="G208" s="582"/>
      <c r="H208" s="582"/>
      <c r="I208" s="124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27.75" customHeight="1" x14ac:dyDescent="0.25">
      <c r="A209" s="15"/>
      <c r="B209" s="166" t="s">
        <v>145</v>
      </c>
      <c r="C209" s="167" t="s">
        <v>169</v>
      </c>
      <c r="D209" s="167" t="s">
        <v>171</v>
      </c>
      <c r="E209" s="169"/>
      <c r="F209" s="582" t="s">
        <v>170</v>
      </c>
      <c r="G209" s="582"/>
      <c r="H209" s="582"/>
      <c r="I209" s="124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3.5" customHeight="1" x14ac:dyDescent="0.25">
      <c r="A210" s="15"/>
      <c r="B210" s="166" t="s">
        <v>146</v>
      </c>
      <c r="C210" s="167" t="s">
        <v>169</v>
      </c>
      <c r="D210" s="167" t="s">
        <v>171</v>
      </c>
      <c r="E210" s="169"/>
      <c r="F210" s="582" t="s">
        <v>170</v>
      </c>
      <c r="G210" s="582"/>
      <c r="H210" s="582"/>
      <c r="I210" s="124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1.25" customHeight="1" x14ac:dyDescent="0.25">
      <c r="A211" s="15"/>
      <c r="B211" s="170" t="s">
        <v>147</v>
      </c>
      <c r="C211" s="171" t="s">
        <v>148</v>
      </c>
      <c r="D211" s="171" t="s">
        <v>103</v>
      </c>
      <c r="E211" s="172"/>
      <c r="F211" s="583" t="s">
        <v>170</v>
      </c>
      <c r="G211" s="583"/>
      <c r="H211" s="583"/>
      <c r="I211" s="124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3.5" customHeight="1" x14ac:dyDescent="0.25">
      <c r="A212" s="15"/>
      <c r="B212" s="173" t="s">
        <v>149</v>
      </c>
      <c r="C212" s="174" t="s">
        <v>148</v>
      </c>
      <c r="D212" s="174" t="s">
        <v>103</v>
      </c>
      <c r="E212" s="175"/>
      <c r="F212" s="584" t="s">
        <v>170</v>
      </c>
      <c r="G212" s="584"/>
      <c r="H212" s="584"/>
      <c r="I212" s="17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2.75" customHeight="1" x14ac:dyDescent="0.25">
      <c r="A213" s="15"/>
      <c r="B213" s="15"/>
      <c r="C213" s="141"/>
      <c r="D213" s="176"/>
      <c r="E213" s="176"/>
      <c r="F213" s="142"/>
      <c r="G213" s="142"/>
      <c r="H213" s="17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2.75" customHeight="1" x14ac:dyDescent="0.25">
      <c r="A214" s="15"/>
      <c r="B214" s="15"/>
      <c r="C214" s="141"/>
      <c r="D214" s="176"/>
      <c r="E214" s="176"/>
      <c r="F214" s="142"/>
      <c r="G214" s="142"/>
      <c r="H214" s="17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2.75" customHeight="1" x14ac:dyDescent="0.25">
      <c r="A215" s="15"/>
      <c r="B215" s="177" t="s">
        <v>172</v>
      </c>
      <c r="C215" s="141"/>
      <c r="D215" s="176"/>
      <c r="E215" s="176"/>
      <c r="F215" s="142"/>
      <c r="G215" s="142"/>
      <c r="H215" s="17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2.75" customHeight="1" x14ac:dyDescent="0.3">
      <c r="A216" s="15"/>
      <c r="B216" s="178" t="s">
        <v>173</v>
      </c>
      <c r="C216" s="179" t="s">
        <v>174</v>
      </c>
      <c r="D216" s="179" t="s">
        <v>175</v>
      </c>
      <c r="E216" s="180" t="s">
        <v>176</v>
      </c>
      <c r="F216" s="180" t="s">
        <v>177</v>
      </c>
      <c r="G216" s="180" t="s">
        <v>178</v>
      </c>
      <c r="H216" s="180" t="s">
        <v>179</v>
      </c>
      <c r="I216" s="179" t="s">
        <v>180</v>
      </c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2.75" customHeight="1" x14ac:dyDescent="0.25">
      <c r="A217" s="15"/>
      <c r="B217" s="585" t="s">
        <v>181</v>
      </c>
      <c r="C217" s="586" t="e">
        <f>AVERAGE(H217:H219)</f>
        <v>#DIV/0!</v>
      </c>
      <c r="D217" s="586" t="e">
        <f>MEDIAN(H217:H219)</f>
        <v>#NUM!</v>
      </c>
      <c r="E217" s="587" t="e">
        <f>STDEV(H217:H219)</f>
        <v>#DIV/0!</v>
      </c>
      <c r="F217" s="587" t="e">
        <f>E217/C217</f>
        <v>#DIV/0!</v>
      </c>
      <c r="G217" s="588" t="e">
        <f>IF(E2&gt;0.25,MEDIAN(H217:H219),AVERAGE(H217:H219))</f>
        <v>#DIV/0!</v>
      </c>
      <c r="H217" s="182"/>
      <c r="I217" s="183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2.75" customHeight="1" x14ac:dyDescent="0.25">
      <c r="A218" s="15"/>
      <c r="B218" s="585"/>
      <c r="C218" s="585"/>
      <c r="D218" s="585"/>
      <c r="E218" s="585"/>
      <c r="F218" s="585"/>
      <c r="G218" s="585"/>
      <c r="H218" s="184"/>
      <c r="I218" s="183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2.75" customHeight="1" x14ac:dyDescent="0.25">
      <c r="A219" s="15"/>
      <c r="B219" s="585"/>
      <c r="C219" s="585"/>
      <c r="D219" s="585"/>
      <c r="E219" s="585"/>
      <c r="F219" s="585"/>
      <c r="G219" s="585"/>
      <c r="H219" s="184"/>
      <c r="I219" s="183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2.75" customHeight="1" x14ac:dyDescent="0.25">
      <c r="A220" s="15"/>
      <c r="B220" s="15"/>
      <c r="C220" s="141"/>
      <c r="D220" s="176"/>
      <c r="E220" s="176"/>
      <c r="F220" s="142"/>
      <c r="G220" s="142"/>
      <c r="H220" s="17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2.75" customHeight="1" x14ac:dyDescent="0.25">
      <c r="A221" s="15"/>
      <c r="B221" s="15"/>
      <c r="C221" s="141"/>
      <c r="D221" s="176"/>
      <c r="E221" s="176"/>
      <c r="F221" s="142"/>
      <c r="G221" s="142"/>
      <c r="H221" s="17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3.5" customHeight="1" x14ac:dyDescent="0.3">
      <c r="A222" s="15"/>
      <c r="B222" s="185" t="s">
        <v>182</v>
      </c>
      <c r="C222" s="186"/>
      <c r="D222" s="187"/>
      <c r="E222" s="187"/>
      <c r="F222" s="188"/>
      <c r="G222" s="142"/>
      <c r="H222" s="17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2.75" customHeight="1" x14ac:dyDescent="0.25">
      <c r="A223" s="15"/>
      <c r="B223" s="189"/>
      <c r="C223" s="186"/>
      <c r="D223" s="187"/>
      <c r="E223" s="187"/>
      <c r="F223" s="188"/>
      <c r="G223" s="142"/>
      <c r="H223" s="17"/>
      <c r="I223" s="17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2.75" customHeight="1" x14ac:dyDescent="0.25">
      <c r="A224" s="15"/>
      <c r="B224" s="190" t="s">
        <v>183</v>
      </c>
      <c r="C224" s="191" t="s">
        <v>103</v>
      </c>
      <c r="D224" s="192" t="s">
        <v>184</v>
      </c>
      <c r="E224" s="192" t="s">
        <v>53</v>
      </c>
      <c r="F224" s="193" t="s">
        <v>185</v>
      </c>
      <c r="G224" s="142"/>
      <c r="H224" s="17"/>
      <c r="I224" s="17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2.75" customHeight="1" x14ac:dyDescent="0.25">
      <c r="A225" s="125"/>
      <c r="B225" s="194" t="s">
        <v>186</v>
      </c>
      <c r="C225" s="195" t="s">
        <v>103</v>
      </c>
      <c r="D225" s="196"/>
      <c r="E225" s="197" t="s">
        <v>187</v>
      </c>
      <c r="F225" s="198">
        <v>45833</v>
      </c>
      <c r="G225" s="142"/>
      <c r="H225" s="199"/>
      <c r="I225" s="199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</row>
    <row r="226" spans="1:27" ht="12.75" customHeight="1" x14ac:dyDescent="0.25">
      <c r="A226" s="17"/>
      <c r="B226" s="200" t="s">
        <v>188</v>
      </c>
      <c r="C226" s="201" t="s">
        <v>189</v>
      </c>
      <c r="D226" s="202"/>
      <c r="E226" s="203" t="s">
        <v>190</v>
      </c>
      <c r="F226" s="204">
        <v>45833</v>
      </c>
      <c r="G226" s="142"/>
      <c r="H226" s="17"/>
      <c r="I226" s="17"/>
      <c r="J226" s="15"/>
      <c r="K226" s="15"/>
      <c r="L226" s="15"/>
      <c r="M226" s="15"/>
      <c r="N226" s="15"/>
      <c r="O226" s="15"/>
      <c r="P226" s="15"/>
      <c r="Q226" s="15"/>
      <c r="R226" s="15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2.75" customHeight="1" x14ac:dyDescent="0.25">
      <c r="A227" s="17"/>
      <c r="B227" s="15"/>
      <c r="C227" s="141"/>
      <c r="D227" s="120"/>
      <c r="E227" s="120"/>
      <c r="F227" s="142"/>
      <c r="G227" s="142"/>
      <c r="H227" s="17"/>
      <c r="I227" s="17"/>
      <c r="J227" s="15"/>
      <c r="K227" s="15"/>
      <c r="L227" s="15"/>
      <c r="M227" s="15"/>
      <c r="N227" s="15"/>
      <c r="O227" s="15"/>
      <c r="P227" s="15"/>
      <c r="Q227" s="15"/>
      <c r="R227" s="15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2.75" customHeight="1" x14ac:dyDescent="0.25">
      <c r="A228" s="17"/>
      <c r="B228" s="15"/>
      <c r="C228" s="15"/>
      <c r="D228" s="15"/>
      <c r="E228" s="15"/>
      <c r="F228" s="205"/>
      <c r="G228" s="17"/>
      <c r="H228" s="42"/>
      <c r="I228" s="17"/>
      <c r="J228" s="15"/>
      <c r="K228" s="15"/>
      <c r="L228" s="15"/>
      <c r="M228" s="15"/>
      <c r="N228" s="15"/>
      <c r="O228" s="15"/>
      <c r="P228" s="15"/>
      <c r="Q228" s="15"/>
      <c r="R228" s="15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1.25" customHeight="1" x14ac:dyDescent="0.25">
      <c r="A229" s="17"/>
      <c r="B229" s="15"/>
      <c r="C229" s="15"/>
      <c r="D229" s="15"/>
      <c r="E229" s="15"/>
      <c r="F229" s="17"/>
      <c r="G229" s="17"/>
      <c r="H229" s="17"/>
      <c r="I229" s="17"/>
      <c r="J229" s="15"/>
      <c r="K229" s="15"/>
      <c r="L229" s="15"/>
      <c r="M229" s="15"/>
      <c r="N229" s="15"/>
      <c r="O229" s="15"/>
      <c r="P229" s="15"/>
      <c r="Q229" s="15"/>
      <c r="R229" s="15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1.25" customHeight="1" x14ac:dyDescent="0.25">
      <c r="A230" s="17"/>
      <c r="B230" s="44" t="s">
        <v>191</v>
      </c>
      <c r="C230" s="15"/>
      <c r="D230" s="15"/>
      <c r="E230" s="15"/>
      <c r="F230" s="17"/>
      <c r="G230" s="17"/>
      <c r="H230" s="17"/>
      <c r="I230" s="17"/>
      <c r="J230" s="15"/>
      <c r="K230" s="15"/>
      <c r="L230" s="15"/>
      <c r="M230" s="15"/>
      <c r="N230" s="15"/>
      <c r="O230" s="15"/>
      <c r="P230" s="15"/>
      <c r="Q230" s="15"/>
      <c r="R230" s="15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1.25" customHeight="1" x14ac:dyDescent="0.3">
      <c r="A231" s="17"/>
      <c r="B231" s="178" t="s">
        <v>173</v>
      </c>
      <c r="C231" s="179" t="s">
        <v>174</v>
      </c>
      <c r="D231" s="179" t="s">
        <v>175</v>
      </c>
      <c r="E231" s="180" t="s">
        <v>176</v>
      </c>
      <c r="F231" s="180" t="s">
        <v>177</v>
      </c>
      <c r="G231" s="180" t="s">
        <v>178</v>
      </c>
      <c r="H231" s="180" t="s">
        <v>179</v>
      </c>
      <c r="I231" s="179" t="s">
        <v>180</v>
      </c>
      <c r="J231" s="15"/>
      <c r="K231" s="15"/>
      <c r="L231" s="15"/>
      <c r="M231" s="15"/>
      <c r="N231" s="15"/>
      <c r="O231" s="15"/>
      <c r="P231" s="15"/>
      <c r="Q231" s="15"/>
      <c r="R231" s="15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1.25" customHeight="1" x14ac:dyDescent="0.25">
      <c r="A232" s="17"/>
      <c r="B232" s="589" t="s">
        <v>192</v>
      </c>
      <c r="C232" s="590" t="e">
        <f>AVERAGE(H232:H234)</f>
        <v>#DIV/0!</v>
      </c>
      <c r="D232" s="590" t="e">
        <f>MEDIAN(H232:H234)</f>
        <v>#NUM!</v>
      </c>
      <c r="E232" s="590" t="e">
        <f>STDEV(H232:H234)</f>
        <v>#DIV/0!</v>
      </c>
      <c r="F232" s="591" t="e">
        <f>E232/C232</f>
        <v>#DIV/0!</v>
      </c>
      <c r="G232" s="592" t="e">
        <f>IF(F232&gt;0.25,MEDIAN(H232:H234),AVERAGE(H232:H234))</f>
        <v>#DIV/0!</v>
      </c>
      <c r="H232" s="206"/>
      <c r="I232" s="207"/>
      <c r="J232" s="15"/>
      <c r="K232" s="15"/>
      <c r="L232" s="15"/>
      <c r="M232" s="15"/>
      <c r="N232" s="15"/>
      <c r="O232" s="15"/>
      <c r="P232" s="15"/>
      <c r="Q232" s="15"/>
      <c r="R232" s="15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4.4" x14ac:dyDescent="0.3">
      <c r="A233" s="17"/>
      <c r="B233" s="589"/>
      <c r="C233" s="589"/>
      <c r="D233" s="589"/>
      <c r="E233" s="589"/>
      <c r="F233" s="589"/>
      <c r="G233" s="589"/>
      <c r="H233" s="206"/>
      <c r="I233" s="208"/>
      <c r="J233" s="125"/>
      <c r="K233" s="125"/>
      <c r="L233" s="15"/>
      <c r="M233" s="15"/>
      <c r="N233" s="15"/>
      <c r="O233" s="15"/>
      <c r="P233" s="15"/>
      <c r="Q233" s="15"/>
      <c r="R233" s="15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1.25" customHeight="1" x14ac:dyDescent="0.3">
      <c r="A234" s="17"/>
      <c r="B234" s="589"/>
      <c r="C234" s="589"/>
      <c r="D234" s="589"/>
      <c r="E234" s="589"/>
      <c r="F234" s="589"/>
      <c r="G234" s="589"/>
      <c r="H234" s="206"/>
      <c r="I234" s="209"/>
      <c r="J234" s="15"/>
      <c r="K234" s="15"/>
      <c r="L234" s="15"/>
      <c r="M234" s="15"/>
      <c r="N234" s="15"/>
      <c r="O234" s="15"/>
      <c r="P234" s="15"/>
      <c r="Q234" s="15"/>
      <c r="R234" s="15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1.25" customHeight="1" x14ac:dyDescent="0.25">
      <c r="A235" s="17"/>
      <c r="B235" s="15"/>
      <c r="C235" s="141"/>
      <c r="D235" s="176"/>
      <c r="E235" s="176"/>
      <c r="F235" s="142"/>
      <c r="G235" s="142"/>
      <c r="H235" s="17"/>
      <c r="I235" s="17"/>
      <c r="J235" s="15"/>
      <c r="K235" s="15"/>
      <c r="L235" s="15"/>
      <c r="M235" s="15"/>
      <c r="N235" s="15"/>
      <c r="O235" s="15"/>
      <c r="P235" s="15"/>
      <c r="Q235" s="15"/>
      <c r="R235" s="15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1.25" customHeight="1" x14ac:dyDescent="0.25">
      <c r="A236" s="17"/>
      <c r="B236" s="110"/>
      <c r="C236" s="141"/>
      <c r="D236" s="176"/>
      <c r="E236" s="176"/>
      <c r="F236" s="142"/>
      <c r="G236" s="142"/>
      <c r="H236" s="17"/>
      <c r="I236" s="17"/>
      <c r="J236" s="15"/>
      <c r="K236" s="15"/>
      <c r="L236" s="15"/>
      <c r="M236" s="15"/>
      <c r="N236" s="15"/>
      <c r="O236" s="15"/>
      <c r="P236" s="15"/>
      <c r="Q236" s="15"/>
      <c r="R236" s="15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1.25" customHeight="1" x14ac:dyDescent="0.25">
      <c r="A237" s="17"/>
      <c r="B237" s="110"/>
      <c r="C237" s="141"/>
      <c r="D237" s="176"/>
      <c r="E237" s="176"/>
      <c r="F237" s="142"/>
      <c r="G237" s="142"/>
      <c r="H237" s="17"/>
      <c r="I237" s="17"/>
      <c r="J237" s="15"/>
      <c r="K237" s="15"/>
      <c r="L237" s="15"/>
      <c r="M237" s="15"/>
      <c r="N237" s="15"/>
      <c r="O237" s="15"/>
      <c r="P237" s="15"/>
      <c r="Q237" s="15"/>
      <c r="R237" s="15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1.25" customHeight="1" x14ac:dyDescent="0.25">
      <c r="A238" s="17"/>
      <c r="B238" s="15"/>
      <c r="C238" s="141"/>
      <c r="D238" s="176"/>
      <c r="E238" s="176"/>
      <c r="F238" s="142"/>
      <c r="G238" s="142"/>
      <c r="H238" s="17"/>
      <c r="I238" s="17"/>
      <c r="J238" s="15"/>
      <c r="K238" s="15"/>
      <c r="L238" s="15"/>
      <c r="M238" s="15"/>
      <c r="N238" s="15"/>
      <c r="O238" s="15"/>
      <c r="P238" s="15"/>
      <c r="Q238" s="15"/>
      <c r="R238" s="15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1.25" customHeight="1" x14ac:dyDescent="0.25">
      <c r="A239" s="17"/>
      <c r="B239" s="15"/>
      <c r="C239" s="141"/>
      <c r="D239" s="176"/>
      <c r="E239" s="176"/>
      <c r="F239" s="142"/>
      <c r="G239" s="142"/>
      <c r="H239" s="17"/>
      <c r="I239" s="17"/>
      <c r="J239" s="15"/>
      <c r="K239" s="15"/>
      <c r="L239" s="15"/>
      <c r="M239" s="15"/>
      <c r="N239" s="15"/>
      <c r="O239" s="15"/>
      <c r="P239" s="15"/>
      <c r="Q239" s="15"/>
      <c r="R239" s="15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1.25" customHeight="1" x14ac:dyDescent="0.25">
      <c r="A240" s="17"/>
      <c r="B240" s="15"/>
      <c r="C240" s="141"/>
      <c r="D240" s="176"/>
      <c r="E240" s="176"/>
      <c r="F240" s="142"/>
      <c r="G240" s="142"/>
      <c r="H240" s="17"/>
      <c r="I240" s="17"/>
      <c r="J240" s="15"/>
      <c r="K240" s="15"/>
      <c r="L240" s="15"/>
      <c r="M240" s="15"/>
      <c r="N240" s="15"/>
      <c r="O240" s="15"/>
      <c r="P240" s="15"/>
      <c r="Q240" s="15"/>
      <c r="R240" s="15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1.25" customHeight="1" x14ac:dyDescent="0.25">
      <c r="A241" s="17"/>
      <c r="B241" s="15"/>
      <c r="C241" s="141"/>
      <c r="D241" s="176"/>
      <c r="E241" s="176"/>
      <c r="F241" s="142"/>
      <c r="G241" s="142"/>
      <c r="H241" s="17"/>
      <c r="I241" s="17"/>
      <c r="J241" s="15"/>
      <c r="K241" s="15"/>
      <c r="L241" s="15"/>
      <c r="M241" s="15"/>
      <c r="N241" s="15"/>
      <c r="O241" s="15"/>
      <c r="P241" s="15"/>
      <c r="Q241" s="15"/>
      <c r="R241" s="15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1.25" customHeight="1" x14ac:dyDescent="0.25">
      <c r="A242" s="17"/>
      <c r="B242" s="15"/>
      <c r="C242" s="141"/>
      <c r="D242" s="176"/>
      <c r="E242" s="176"/>
      <c r="F242" s="142"/>
      <c r="G242" s="142"/>
      <c r="H242" s="17"/>
      <c r="I242" s="17"/>
      <c r="J242" s="15"/>
      <c r="K242" s="15"/>
      <c r="L242" s="15"/>
      <c r="M242" s="15"/>
      <c r="N242" s="15"/>
      <c r="O242" s="15"/>
      <c r="P242" s="15"/>
      <c r="Q242" s="15"/>
      <c r="R242" s="15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1.25" customHeight="1" x14ac:dyDescent="0.25">
      <c r="A243" s="15"/>
      <c r="B243" s="15"/>
      <c r="C243" s="141"/>
      <c r="D243" s="176"/>
      <c r="E243" s="176"/>
      <c r="F243" s="142"/>
      <c r="G243" s="142"/>
      <c r="H243" s="17"/>
      <c r="I243" s="17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1.25" customHeight="1" x14ac:dyDescent="0.25">
      <c r="A244" s="15"/>
      <c r="B244" s="15"/>
      <c r="C244" s="141"/>
      <c r="D244" s="120"/>
      <c r="E244" s="120"/>
      <c r="F244" s="142"/>
      <c r="G244" s="142"/>
      <c r="H244" s="17"/>
      <c r="I244" s="17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1.25" customHeight="1" x14ac:dyDescent="0.25">
      <c r="A245" s="15"/>
      <c r="B245" s="15"/>
      <c r="C245" s="141"/>
      <c r="D245" s="120"/>
      <c r="E245" s="120"/>
      <c r="F245" s="142"/>
      <c r="G245" s="142"/>
      <c r="H245" s="17"/>
      <c r="I245" s="17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1.25" customHeight="1" x14ac:dyDescent="0.25">
      <c r="A246" s="15"/>
      <c r="B246" s="15"/>
      <c r="C246" s="15"/>
      <c r="D246" s="15"/>
      <c r="E246" s="15"/>
      <c r="F246" s="205"/>
      <c r="G246" s="17"/>
      <c r="H246" s="42"/>
      <c r="I246" s="17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1.25" customHeight="1" x14ac:dyDescent="0.25">
      <c r="A247" s="15"/>
      <c r="B247" s="15"/>
      <c r="C247" s="15"/>
      <c r="D247" s="15"/>
      <c r="E247" s="15"/>
      <c r="F247" s="17"/>
      <c r="G247" s="17"/>
      <c r="H247" s="17"/>
      <c r="I247" s="17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3.5" customHeight="1" x14ac:dyDescent="0.25">
      <c r="A248" s="15"/>
      <c r="B248" s="15"/>
      <c r="C248" s="15"/>
      <c r="D248" s="15"/>
      <c r="E248" s="15"/>
      <c r="F248" s="17"/>
      <c r="G248" s="17"/>
      <c r="H248" s="17"/>
      <c r="I248" s="17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1.25" customHeight="1" x14ac:dyDescent="0.25">
      <c r="A249" s="15"/>
      <c r="B249" s="15"/>
      <c r="C249" s="15"/>
      <c r="D249" s="15"/>
      <c r="E249" s="15"/>
      <c r="F249" s="17"/>
      <c r="G249" s="17"/>
      <c r="H249" s="17"/>
      <c r="I249" s="17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2.75" customHeight="1" x14ac:dyDescent="0.25">
      <c r="A250" s="15"/>
      <c r="B250" s="153"/>
      <c r="C250" s="153"/>
      <c r="D250" s="210"/>
      <c r="E250" s="210"/>
      <c r="F250" s="154"/>
      <c r="G250" s="154"/>
      <c r="H250" s="154"/>
      <c r="I250" s="17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2.75" customHeight="1" x14ac:dyDescent="0.25">
      <c r="A251" s="15"/>
      <c r="B251" s="15"/>
      <c r="C251" s="141"/>
      <c r="D251" s="176"/>
      <c r="E251" s="176"/>
      <c r="F251" s="142"/>
      <c r="G251" s="142"/>
      <c r="H251" s="17"/>
      <c r="I251" s="17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2.75" customHeight="1" x14ac:dyDescent="0.25">
      <c r="A252" s="15"/>
      <c r="B252" s="15"/>
      <c r="C252" s="141"/>
      <c r="D252" s="176"/>
      <c r="E252" s="176"/>
      <c r="F252" s="142"/>
      <c r="G252" s="142"/>
      <c r="H252" s="17"/>
      <c r="I252" s="17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2.75" customHeight="1" x14ac:dyDescent="0.25">
      <c r="A253" s="15"/>
      <c r="B253" s="110"/>
      <c r="C253" s="141"/>
      <c r="D253" s="176"/>
      <c r="E253" s="176"/>
      <c r="F253" s="142"/>
      <c r="G253" s="142"/>
      <c r="H253" s="17"/>
      <c r="I253" s="17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2.75" customHeight="1" x14ac:dyDescent="0.25">
      <c r="A254" s="15"/>
      <c r="B254" s="110"/>
      <c r="C254" s="141"/>
      <c r="D254" s="176"/>
      <c r="E254" s="176"/>
      <c r="F254" s="142"/>
      <c r="G254" s="142"/>
      <c r="H254" s="17"/>
      <c r="I254" s="17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2.75" customHeight="1" x14ac:dyDescent="0.25">
      <c r="A255" s="15"/>
      <c r="B255" s="15"/>
      <c r="C255" s="141"/>
      <c r="D255" s="176"/>
      <c r="E255" s="176"/>
      <c r="F255" s="142"/>
      <c r="G255" s="142"/>
      <c r="H255" s="17"/>
      <c r="I255" s="17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2.75" customHeight="1" x14ac:dyDescent="0.25">
      <c r="A256" s="15"/>
      <c r="B256" s="15"/>
      <c r="C256" s="141"/>
      <c r="D256" s="176"/>
      <c r="E256" s="176"/>
      <c r="F256" s="142"/>
      <c r="G256" s="142"/>
      <c r="H256" s="17"/>
      <c r="I256" s="17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2.75" customHeight="1" x14ac:dyDescent="0.25">
      <c r="A257" s="15"/>
      <c r="B257" s="15"/>
      <c r="C257" s="141"/>
      <c r="D257" s="120"/>
      <c r="E257" s="120"/>
      <c r="F257" s="142"/>
      <c r="G257" s="142"/>
      <c r="H257" s="17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2.75" customHeight="1" x14ac:dyDescent="0.25">
      <c r="A258" s="15"/>
      <c r="B258" s="15"/>
      <c r="C258" s="141"/>
      <c r="D258" s="120"/>
      <c r="E258" s="120"/>
      <c r="F258" s="142"/>
      <c r="G258" s="142"/>
      <c r="H258" s="17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2.75" customHeight="1" x14ac:dyDescent="0.25">
      <c r="A259" s="15"/>
      <c r="B259" s="15"/>
      <c r="C259" s="15"/>
      <c r="D259" s="15"/>
      <c r="E259" s="15"/>
      <c r="F259" s="205"/>
      <c r="G259" s="17"/>
      <c r="H259" s="42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1.25" customHeight="1" x14ac:dyDescent="0.25">
      <c r="A260" s="15"/>
      <c r="B260" s="15"/>
      <c r="C260" s="15"/>
      <c r="D260" s="15"/>
      <c r="E260" s="15"/>
      <c r="F260" s="17"/>
      <c r="G260" s="17"/>
      <c r="H260" s="17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1.25" customHeight="1" x14ac:dyDescent="0.25">
      <c r="A261" s="15"/>
      <c r="B261" s="15"/>
      <c r="C261" s="15"/>
      <c r="D261" s="15"/>
      <c r="E261" s="15"/>
      <c r="F261" s="17"/>
      <c r="G261" s="17"/>
      <c r="H261" s="17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1.25" customHeight="1" x14ac:dyDescent="0.25">
      <c r="A262" s="15"/>
      <c r="B262" s="15"/>
      <c r="C262" s="15"/>
      <c r="D262" s="15"/>
      <c r="E262" s="15"/>
      <c r="F262" s="17"/>
      <c r="G262" s="17"/>
      <c r="H262" s="17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1.25" customHeight="1" x14ac:dyDescent="0.25">
      <c r="A263" s="15"/>
      <c r="B263" s="153"/>
      <c r="C263" s="153"/>
      <c r="D263" s="210"/>
      <c r="E263" s="210"/>
      <c r="F263" s="154"/>
      <c r="G263" s="154"/>
      <c r="H263" s="154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1.25" customHeight="1" x14ac:dyDescent="0.25">
      <c r="A264" s="15"/>
      <c r="B264" s="15"/>
      <c r="C264" s="141"/>
      <c r="D264" s="176"/>
      <c r="E264" s="176"/>
      <c r="F264" s="142"/>
      <c r="G264" s="142"/>
      <c r="H264" s="17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1.25" customHeight="1" x14ac:dyDescent="0.25">
      <c r="A265" s="15"/>
      <c r="B265" s="15"/>
      <c r="C265" s="141"/>
      <c r="D265" s="176"/>
      <c r="E265" s="176"/>
      <c r="F265" s="142"/>
      <c r="G265" s="142"/>
      <c r="H265" s="17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1.25" customHeight="1" x14ac:dyDescent="0.25">
      <c r="A266" s="15"/>
      <c r="B266" s="110"/>
      <c r="C266" s="141"/>
      <c r="D266" s="176"/>
      <c r="E266" s="176"/>
      <c r="F266" s="142"/>
      <c r="G266" s="142"/>
      <c r="H266" s="17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1.25" customHeight="1" x14ac:dyDescent="0.25">
      <c r="A267" s="15"/>
      <c r="B267" s="110"/>
      <c r="C267" s="141"/>
      <c r="D267" s="176"/>
      <c r="E267" s="176"/>
      <c r="F267" s="142"/>
      <c r="G267" s="142"/>
      <c r="H267" s="17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1.25" customHeight="1" x14ac:dyDescent="0.25">
      <c r="A268" s="15"/>
      <c r="B268" s="15"/>
      <c r="C268" s="141"/>
      <c r="D268" s="176"/>
      <c r="E268" s="176"/>
      <c r="F268" s="142"/>
      <c r="G268" s="142"/>
      <c r="H268" s="17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1.25" customHeight="1" x14ac:dyDescent="0.25">
      <c r="A269" s="15"/>
      <c r="B269" s="15"/>
      <c r="C269" s="141"/>
      <c r="D269" s="176"/>
      <c r="E269" s="176"/>
      <c r="F269" s="142"/>
      <c r="G269" s="142"/>
      <c r="H269" s="17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1.25" customHeight="1" x14ac:dyDescent="0.25">
      <c r="A270" s="15"/>
      <c r="B270" s="15"/>
      <c r="C270" s="141"/>
      <c r="D270" s="176"/>
      <c r="E270" s="176"/>
      <c r="F270" s="142"/>
      <c r="G270" s="142"/>
      <c r="H270" s="17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1.25" customHeight="1" x14ac:dyDescent="0.25">
      <c r="A271" s="15"/>
      <c r="B271" s="15"/>
      <c r="C271" s="141"/>
      <c r="D271" s="176"/>
      <c r="E271" s="176"/>
      <c r="F271" s="142"/>
      <c r="G271" s="142"/>
      <c r="H271" s="17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1.25" customHeight="1" x14ac:dyDescent="0.25">
      <c r="A272" s="15"/>
      <c r="B272" s="15"/>
      <c r="C272" s="141"/>
      <c r="D272" s="176"/>
      <c r="E272" s="176"/>
      <c r="F272" s="142"/>
      <c r="G272" s="142"/>
      <c r="H272" s="17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1.25" customHeight="1" x14ac:dyDescent="0.25">
      <c r="A273" s="15"/>
      <c r="B273" s="15"/>
      <c r="C273" s="141"/>
      <c r="D273" s="120"/>
      <c r="E273" s="120"/>
      <c r="F273" s="142"/>
      <c r="G273" s="142"/>
      <c r="H273" s="17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1.25" customHeight="1" x14ac:dyDescent="0.25">
      <c r="A274" s="15"/>
      <c r="B274" s="15"/>
      <c r="C274" s="141"/>
      <c r="D274" s="120"/>
      <c r="E274" s="120"/>
      <c r="F274" s="142"/>
      <c r="G274" s="142"/>
      <c r="H274" s="17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1.25" customHeight="1" x14ac:dyDescent="0.25">
      <c r="A275" s="15"/>
      <c r="B275" s="15"/>
      <c r="C275" s="15"/>
      <c r="D275" s="15"/>
      <c r="E275" s="15"/>
      <c r="F275" s="205"/>
      <c r="G275" s="17"/>
      <c r="H275" s="42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1.25" customHeight="1" x14ac:dyDescent="0.25">
      <c r="A276" s="15"/>
      <c r="B276" s="15"/>
      <c r="C276" s="15"/>
      <c r="D276" s="15"/>
      <c r="E276" s="15"/>
      <c r="F276" s="17"/>
      <c r="G276" s="17"/>
      <c r="H276" s="17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2.75" customHeight="1" x14ac:dyDescent="0.25">
      <c r="A277" s="15"/>
      <c r="B277" s="44"/>
      <c r="C277" s="15"/>
      <c r="D277" s="15"/>
      <c r="E277" s="15"/>
      <c r="F277" s="17"/>
      <c r="G277" s="17"/>
      <c r="H277" s="42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1.25" customHeight="1" x14ac:dyDescent="0.25">
      <c r="A278" s="15"/>
      <c r="B278" s="15"/>
      <c r="C278" s="15"/>
      <c r="D278" s="15"/>
      <c r="E278" s="15"/>
      <c r="F278" s="17"/>
      <c r="G278" s="17"/>
      <c r="H278" s="17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2.75" customHeight="1" x14ac:dyDescent="0.25">
      <c r="A279" s="15"/>
      <c r="B279" s="44"/>
      <c r="C279" s="15"/>
      <c r="D279" s="15"/>
      <c r="E279" s="15"/>
      <c r="F279" s="17"/>
      <c r="G279" s="17"/>
      <c r="H279" s="17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1.25" customHeight="1" x14ac:dyDescent="0.25">
      <c r="A280" s="15"/>
      <c r="B280" s="15"/>
      <c r="C280" s="211"/>
      <c r="D280" s="15"/>
      <c r="E280" s="15"/>
      <c r="F280" s="17"/>
      <c r="G280" s="17"/>
      <c r="H280" s="17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43.5" customHeight="1" x14ac:dyDescent="0.25">
      <c r="A281" s="15"/>
      <c r="B281" s="212"/>
      <c r="C281" s="212"/>
      <c r="D281" s="212"/>
      <c r="E281" s="212"/>
      <c r="F281" s="212"/>
      <c r="G281" s="212"/>
      <c r="H281" s="212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1.25" customHeight="1" x14ac:dyDescent="0.25">
      <c r="A282" s="15"/>
      <c r="B282" s="15"/>
      <c r="C282" s="15"/>
      <c r="D282" s="15"/>
      <c r="E282" s="15"/>
      <c r="F282" s="17"/>
      <c r="G282" s="17"/>
      <c r="H282" s="17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2.75" customHeight="1" x14ac:dyDescent="0.25">
      <c r="A283" s="15"/>
      <c r="B283" s="211"/>
      <c r="C283" s="15"/>
      <c r="D283" s="15"/>
      <c r="E283" s="15"/>
      <c r="F283" s="17"/>
      <c r="G283" s="17"/>
      <c r="H283" s="17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2.75" customHeight="1" x14ac:dyDescent="0.25">
      <c r="A284" s="15"/>
      <c r="B284" s="153"/>
      <c r="C284" s="153"/>
      <c r="D284" s="153"/>
      <c r="E284" s="153"/>
      <c r="F284" s="154"/>
      <c r="G284" s="154"/>
      <c r="H284" s="154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2.75" customHeight="1" x14ac:dyDescent="0.25">
      <c r="A285" s="15"/>
      <c r="B285" s="15"/>
      <c r="C285" s="141"/>
      <c r="D285" s="141"/>
      <c r="E285" s="141"/>
      <c r="F285" s="142"/>
      <c r="G285" s="142"/>
      <c r="H285" s="17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2.75" customHeight="1" x14ac:dyDescent="0.25">
      <c r="A286" s="15"/>
      <c r="B286" s="15"/>
      <c r="C286" s="141"/>
      <c r="D286" s="141"/>
      <c r="E286" s="141"/>
      <c r="F286" s="142"/>
      <c r="G286" s="142"/>
      <c r="H286" s="17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2.75" customHeight="1" x14ac:dyDescent="0.25">
      <c r="A287" s="15"/>
      <c r="B287" s="15"/>
      <c r="C287" s="141"/>
      <c r="D287" s="141"/>
      <c r="E287" s="141"/>
      <c r="F287" s="142"/>
      <c r="G287" s="142"/>
      <c r="H287" s="142"/>
      <c r="I287" s="17"/>
      <c r="J287" s="15"/>
      <c r="K287" s="213"/>
      <c r="L287" s="213"/>
      <c r="M287" s="213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2.75" customHeight="1" x14ac:dyDescent="0.25">
      <c r="A288" s="15"/>
      <c r="B288" s="15"/>
      <c r="C288" s="141"/>
      <c r="D288" s="142"/>
      <c r="E288" s="142"/>
      <c r="F288" s="142"/>
      <c r="G288" s="142"/>
      <c r="H288" s="17"/>
      <c r="I288" s="17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2.75" customHeight="1" x14ac:dyDescent="0.25">
      <c r="A289" s="15"/>
      <c r="B289" s="44"/>
      <c r="C289" s="143"/>
      <c r="D289" s="143"/>
      <c r="E289" s="143"/>
      <c r="F289" s="42"/>
      <c r="G289" s="42"/>
      <c r="H289" s="17"/>
      <c r="I289" s="17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2.75" customHeight="1" x14ac:dyDescent="0.25">
      <c r="A290" s="15"/>
      <c r="B290" s="15"/>
      <c r="C290" s="141"/>
      <c r="D290" s="141"/>
      <c r="E290" s="141"/>
      <c r="F290" s="142"/>
      <c r="G290" s="142"/>
      <c r="H290" s="17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2.75" customHeight="1" x14ac:dyDescent="0.25">
      <c r="A291" s="15"/>
      <c r="B291" s="15"/>
      <c r="C291" s="141"/>
      <c r="D291" s="141"/>
      <c r="E291" s="141"/>
      <c r="F291" s="142"/>
      <c r="G291" s="142"/>
      <c r="H291" s="17"/>
      <c r="I291" s="17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2.75" customHeight="1" x14ac:dyDescent="0.25">
      <c r="A292" s="15"/>
      <c r="B292" s="15"/>
      <c r="C292" s="141"/>
      <c r="D292" s="141"/>
      <c r="E292" s="141"/>
      <c r="F292" s="142"/>
      <c r="G292" s="142"/>
      <c r="H292" s="142"/>
      <c r="I292" s="17"/>
      <c r="J292" s="15"/>
      <c r="K292" s="213"/>
      <c r="L292" s="213"/>
      <c r="M292" s="213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2.75" customHeight="1" x14ac:dyDescent="0.25">
      <c r="A293" s="15"/>
      <c r="B293" s="15"/>
      <c r="C293" s="141"/>
      <c r="D293" s="17"/>
      <c r="E293" s="17"/>
      <c r="F293" s="142"/>
      <c r="G293" s="142"/>
      <c r="H293" s="17"/>
      <c r="I293" s="17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2.75" customHeight="1" x14ac:dyDescent="0.25">
      <c r="A294" s="15"/>
      <c r="B294" s="44"/>
      <c r="C294" s="143"/>
      <c r="D294" s="143"/>
      <c r="E294" s="143"/>
      <c r="F294" s="42"/>
      <c r="G294" s="42"/>
      <c r="H294" s="17"/>
      <c r="I294" s="17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2.75" customHeight="1" x14ac:dyDescent="0.25">
      <c r="A295" s="15"/>
      <c r="B295" s="44"/>
      <c r="C295" s="143"/>
      <c r="D295" s="143"/>
      <c r="E295" s="143"/>
      <c r="F295" s="42"/>
      <c r="G295" s="42"/>
      <c r="H295" s="17"/>
      <c r="I295" s="17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2.75" customHeight="1" x14ac:dyDescent="0.25">
      <c r="A296" s="15"/>
      <c r="B296" s="44"/>
      <c r="C296" s="143"/>
      <c r="D296" s="141"/>
      <c r="E296" s="141"/>
      <c r="F296" s="42"/>
      <c r="G296" s="42"/>
      <c r="H296" s="17"/>
      <c r="I296" s="17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2.75" customHeight="1" x14ac:dyDescent="0.25">
      <c r="A297" s="15"/>
      <c r="B297" s="214"/>
      <c r="C297" s="214"/>
      <c r="D297" s="214"/>
      <c r="E297" s="214"/>
      <c r="F297" s="205"/>
      <c r="G297" s="17"/>
      <c r="H297" s="42"/>
      <c r="I297" s="17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1.25" customHeight="1" x14ac:dyDescent="0.25">
      <c r="A298" s="15"/>
      <c r="B298" s="15"/>
      <c r="C298" s="15"/>
      <c r="D298" s="15"/>
      <c r="E298" s="15"/>
      <c r="F298" s="17"/>
      <c r="G298" s="17"/>
      <c r="H298" s="17"/>
      <c r="I298" s="17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2.75" customHeight="1" x14ac:dyDescent="0.25">
      <c r="A299" s="15"/>
      <c r="B299" s="211"/>
      <c r="C299" s="15"/>
      <c r="D299" s="15"/>
      <c r="E299" s="15"/>
      <c r="F299" s="17"/>
      <c r="G299" s="17"/>
      <c r="H299" s="17"/>
      <c r="I299" s="17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2.75" customHeight="1" x14ac:dyDescent="0.25">
      <c r="A300" s="15"/>
      <c r="B300" s="153"/>
      <c r="C300" s="153"/>
      <c r="D300" s="153"/>
      <c r="E300" s="153"/>
      <c r="F300" s="154"/>
      <c r="G300" s="154"/>
      <c r="H300" s="154"/>
      <c r="I300" s="17"/>
      <c r="J300" s="15"/>
      <c r="K300" s="213"/>
      <c r="L300" s="213"/>
      <c r="M300" s="213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2.75" customHeight="1" x14ac:dyDescent="0.25">
      <c r="A301" s="15"/>
      <c r="B301" s="15"/>
      <c r="C301" s="141"/>
      <c r="D301" s="141"/>
      <c r="E301" s="141"/>
      <c r="F301" s="142"/>
      <c r="G301" s="142"/>
      <c r="H301" s="142"/>
      <c r="I301" s="17"/>
      <c r="J301" s="15"/>
      <c r="K301" s="213"/>
      <c r="L301" s="213"/>
      <c r="M301" s="213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2.75" customHeight="1" x14ac:dyDescent="0.25">
      <c r="A302" s="15"/>
      <c r="B302" s="15"/>
      <c r="C302" s="141"/>
      <c r="D302" s="141"/>
      <c r="E302" s="141"/>
      <c r="F302" s="142"/>
      <c r="G302" s="142"/>
      <c r="H302" s="142"/>
      <c r="I302" s="17"/>
      <c r="J302" s="15"/>
      <c r="K302" s="213"/>
      <c r="L302" s="213"/>
      <c r="M302" s="213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2.75" customHeight="1" x14ac:dyDescent="0.25">
      <c r="A303" s="15"/>
      <c r="B303" s="15"/>
      <c r="C303" s="141"/>
      <c r="D303" s="142"/>
      <c r="E303" s="142"/>
      <c r="F303" s="142"/>
      <c r="G303" s="142"/>
      <c r="H303" s="142"/>
      <c r="I303" s="17"/>
      <c r="J303" s="15"/>
      <c r="K303" s="213"/>
      <c r="L303" s="213"/>
      <c r="M303" s="213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2.75" customHeight="1" x14ac:dyDescent="0.25">
      <c r="A304" s="15"/>
      <c r="B304" s="15"/>
      <c r="C304" s="141"/>
      <c r="D304" s="142"/>
      <c r="E304" s="142"/>
      <c r="F304" s="142"/>
      <c r="G304" s="142"/>
      <c r="H304" s="142"/>
      <c r="I304" s="17"/>
      <c r="J304" s="15"/>
      <c r="K304" s="213"/>
      <c r="L304" s="213"/>
      <c r="M304" s="213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2.75" customHeight="1" x14ac:dyDescent="0.25">
      <c r="A305" s="15"/>
      <c r="B305" s="44"/>
      <c r="C305" s="143"/>
      <c r="D305" s="143"/>
      <c r="E305" s="143"/>
      <c r="F305" s="42"/>
      <c r="G305" s="42"/>
      <c r="H305" s="142"/>
      <c r="I305" s="17"/>
      <c r="J305" s="15"/>
      <c r="K305" s="213"/>
      <c r="L305" s="213"/>
      <c r="M305" s="213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2.75" customHeight="1" x14ac:dyDescent="0.25">
      <c r="A306" s="15"/>
      <c r="B306" s="15"/>
      <c r="C306" s="141"/>
      <c r="D306" s="141"/>
      <c r="E306" s="141"/>
      <c r="F306" s="142"/>
      <c r="G306" s="142"/>
      <c r="H306" s="142"/>
      <c r="I306" s="17"/>
      <c r="J306" s="15"/>
      <c r="K306" s="213"/>
      <c r="L306" s="213"/>
      <c r="M306" s="213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2.75" customHeight="1" x14ac:dyDescent="0.25">
      <c r="A307" s="15"/>
      <c r="B307" s="15"/>
      <c r="C307" s="141"/>
      <c r="D307" s="141"/>
      <c r="E307" s="141"/>
      <c r="F307" s="142"/>
      <c r="G307" s="142"/>
      <c r="H307" s="142"/>
      <c r="I307" s="17"/>
      <c r="J307" s="15"/>
      <c r="K307" s="213"/>
      <c r="L307" s="213"/>
      <c r="M307" s="213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2.75" customHeight="1" x14ac:dyDescent="0.25">
      <c r="A308" s="15"/>
      <c r="B308" s="15"/>
      <c r="C308" s="141"/>
      <c r="D308" s="142"/>
      <c r="E308" s="142"/>
      <c r="F308" s="142"/>
      <c r="G308" s="142"/>
      <c r="H308" s="142"/>
      <c r="I308" s="17"/>
      <c r="J308" s="15"/>
      <c r="K308" s="213"/>
      <c r="L308" s="213"/>
      <c r="M308" s="213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2.75" customHeight="1" x14ac:dyDescent="0.25">
      <c r="A309" s="15"/>
      <c r="B309" s="15"/>
      <c r="C309" s="141"/>
      <c r="D309" s="142"/>
      <c r="E309" s="142"/>
      <c r="F309" s="142"/>
      <c r="G309" s="142"/>
      <c r="H309" s="142"/>
      <c r="I309" s="17"/>
      <c r="J309" s="15"/>
      <c r="K309" s="213"/>
      <c r="L309" s="213"/>
      <c r="M309" s="213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2.75" customHeight="1" x14ac:dyDescent="0.25">
      <c r="A310" s="15"/>
      <c r="B310" s="44"/>
      <c r="C310" s="143"/>
      <c r="D310" s="143"/>
      <c r="E310" s="143"/>
      <c r="F310" s="42"/>
      <c r="G310" s="42"/>
      <c r="H310" s="142"/>
      <c r="I310" s="17"/>
      <c r="J310" s="15"/>
      <c r="K310" s="213"/>
      <c r="L310" s="213"/>
      <c r="M310" s="213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2.75" customHeight="1" x14ac:dyDescent="0.25">
      <c r="A311" s="15"/>
      <c r="B311" s="44"/>
      <c r="C311" s="143"/>
      <c r="D311" s="143"/>
      <c r="E311" s="143"/>
      <c r="F311" s="42"/>
      <c r="G311" s="42"/>
      <c r="H311" s="142"/>
      <c r="I311" s="17"/>
      <c r="J311" s="15"/>
      <c r="K311" s="213"/>
      <c r="L311" s="213"/>
      <c r="M311" s="213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2.75" customHeight="1" x14ac:dyDescent="0.25">
      <c r="A312" s="15"/>
      <c r="B312" s="44"/>
      <c r="C312" s="143"/>
      <c r="D312" s="141"/>
      <c r="E312" s="141"/>
      <c r="F312" s="42"/>
      <c r="G312" s="42"/>
      <c r="H312" s="142"/>
      <c r="I312" s="17"/>
      <c r="J312" s="15"/>
      <c r="K312" s="213"/>
      <c r="L312" s="213"/>
      <c r="M312" s="213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2.75" customHeight="1" x14ac:dyDescent="0.25">
      <c r="A313" s="15"/>
      <c r="B313" s="15"/>
      <c r="C313" s="15"/>
      <c r="D313" s="141"/>
      <c r="E313" s="141"/>
      <c r="F313" s="205"/>
      <c r="G313" s="17"/>
      <c r="H313" s="42"/>
      <c r="I313" s="17"/>
      <c r="J313" s="15"/>
      <c r="K313" s="213"/>
      <c r="L313" s="213"/>
      <c r="M313" s="213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1.25" customHeight="1" x14ac:dyDescent="0.25">
      <c r="A314" s="15"/>
      <c r="B314" s="15"/>
      <c r="C314" s="15"/>
      <c r="D314" s="15"/>
      <c r="E314" s="15"/>
      <c r="F314" s="17"/>
      <c r="G314" s="17"/>
      <c r="H314" s="17"/>
      <c r="I314" s="17"/>
      <c r="J314" s="15"/>
      <c r="K314" s="213"/>
      <c r="L314" s="213"/>
      <c r="M314" s="213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2.75" customHeight="1" x14ac:dyDescent="0.25">
      <c r="A315" s="15"/>
      <c r="B315" s="15"/>
      <c r="C315" s="15"/>
      <c r="D315" s="15"/>
      <c r="E315" s="15"/>
      <c r="F315" s="17"/>
      <c r="G315" s="17"/>
      <c r="H315" s="17"/>
      <c r="I315" s="17"/>
      <c r="J315" s="15"/>
      <c r="K315" s="213"/>
      <c r="L315" s="213"/>
      <c r="M315" s="213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2.75" customHeight="1" x14ac:dyDescent="0.25">
      <c r="A316" s="15"/>
      <c r="B316" s="153"/>
      <c r="C316" s="153"/>
      <c r="D316" s="153"/>
      <c r="E316" s="153"/>
      <c r="F316" s="154"/>
      <c r="G316" s="154"/>
      <c r="H316" s="154"/>
      <c r="I316" s="17"/>
      <c r="J316" s="15"/>
      <c r="K316" s="213"/>
      <c r="L316" s="213"/>
      <c r="M316" s="213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2.75" customHeight="1" x14ac:dyDescent="0.25">
      <c r="A317" s="15"/>
      <c r="B317" s="15"/>
      <c r="C317" s="141"/>
      <c r="D317" s="142"/>
      <c r="E317" s="142"/>
      <c r="F317" s="142"/>
      <c r="G317" s="142"/>
      <c r="H317" s="17"/>
      <c r="I317" s="17"/>
      <c r="J317" s="15"/>
      <c r="K317" s="213"/>
      <c r="L317" s="213"/>
      <c r="M317" s="213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2.75" customHeight="1" x14ac:dyDescent="0.25">
      <c r="A318" s="15"/>
      <c r="B318" s="15"/>
      <c r="C318" s="141"/>
      <c r="D318" s="142"/>
      <c r="E318" s="142"/>
      <c r="F318" s="142"/>
      <c r="G318" s="142"/>
      <c r="H318" s="17"/>
      <c r="I318" s="17"/>
      <c r="J318" s="15"/>
      <c r="K318" s="213"/>
      <c r="L318" s="213"/>
      <c r="M318" s="213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2.75" customHeight="1" x14ac:dyDescent="0.25">
      <c r="A319" s="15"/>
      <c r="B319" s="15"/>
      <c r="C319" s="141"/>
      <c r="D319" s="142"/>
      <c r="E319" s="142"/>
      <c r="F319" s="142"/>
      <c r="G319" s="142"/>
      <c r="H319" s="42"/>
      <c r="I319" s="17"/>
      <c r="J319" s="15"/>
      <c r="K319" s="213"/>
      <c r="L319" s="213"/>
      <c r="M319" s="213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2.75" customHeight="1" x14ac:dyDescent="0.25">
      <c r="A320" s="15"/>
      <c r="B320" s="44"/>
      <c r="C320" s="143"/>
      <c r="D320" s="143"/>
      <c r="E320" s="143"/>
      <c r="F320" s="42"/>
      <c r="G320" s="42"/>
      <c r="H320" s="17"/>
      <c r="I320" s="17"/>
      <c r="J320" s="15"/>
      <c r="K320" s="213"/>
      <c r="L320" s="213"/>
      <c r="M320" s="213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2.75" customHeight="1" x14ac:dyDescent="0.25">
      <c r="A321" s="15"/>
      <c r="B321" s="15"/>
      <c r="C321" s="15"/>
      <c r="D321" s="15"/>
      <c r="E321" s="15"/>
      <c r="F321" s="205"/>
      <c r="G321" s="17"/>
      <c r="H321" s="42"/>
      <c r="I321" s="17"/>
      <c r="J321" s="15"/>
      <c r="K321" s="213"/>
      <c r="L321" s="213"/>
      <c r="M321" s="213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1.25" customHeight="1" x14ac:dyDescent="0.25">
      <c r="A322" s="15"/>
      <c r="B322" s="15"/>
      <c r="C322" s="15"/>
      <c r="D322" s="15"/>
      <c r="E322" s="15"/>
      <c r="F322" s="17"/>
      <c r="G322" s="17"/>
      <c r="H322" s="17"/>
      <c r="I322" s="17"/>
      <c r="J322" s="15"/>
      <c r="K322" s="213"/>
      <c r="L322" s="213"/>
      <c r="M322" s="213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2.75" customHeight="1" x14ac:dyDescent="0.25">
      <c r="A323" s="15"/>
      <c r="B323" s="15"/>
      <c r="C323" s="215"/>
      <c r="D323" s="15"/>
      <c r="E323" s="15"/>
      <c r="F323" s="17"/>
      <c r="G323" s="17"/>
      <c r="H323" s="17"/>
      <c r="I323" s="17"/>
      <c r="J323" s="15"/>
      <c r="K323" s="213"/>
      <c r="L323" s="213"/>
      <c r="M323" s="213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2.75" customHeight="1" x14ac:dyDescent="0.25">
      <c r="A324" s="15"/>
      <c r="B324" s="15"/>
      <c r="C324" s="215"/>
      <c r="D324" s="15"/>
      <c r="E324" s="15"/>
      <c r="F324" s="17"/>
      <c r="G324" s="17"/>
      <c r="H324" s="17"/>
      <c r="I324" s="17"/>
      <c r="J324" s="15"/>
      <c r="K324" s="213"/>
      <c r="L324" s="213"/>
      <c r="M324" s="213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2.75" customHeight="1" x14ac:dyDescent="0.25">
      <c r="A325" s="15"/>
      <c r="B325" s="44"/>
      <c r="C325" s="215"/>
      <c r="D325" s="15"/>
      <c r="E325" s="15"/>
      <c r="F325" s="17"/>
      <c r="G325" s="17"/>
      <c r="H325" s="17"/>
      <c r="I325" s="17"/>
      <c r="J325" s="15"/>
      <c r="K325" s="213"/>
      <c r="L325" s="213"/>
      <c r="M325" s="213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2.75" customHeight="1" x14ac:dyDescent="0.25">
      <c r="A326" s="15"/>
      <c r="B326" s="15"/>
      <c r="C326" s="215"/>
      <c r="D326" s="15"/>
      <c r="E326" s="15"/>
      <c r="F326" s="17"/>
      <c r="G326" s="17"/>
      <c r="H326" s="17"/>
      <c r="I326" s="17"/>
      <c r="J326" s="15"/>
      <c r="K326" s="213"/>
      <c r="L326" s="213"/>
      <c r="M326" s="213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2.75" customHeight="1" x14ac:dyDescent="0.25">
      <c r="A327" s="15"/>
      <c r="B327" s="153"/>
      <c r="C327" s="153"/>
      <c r="D327" s="153"/>
      <c r="E327" s="153"/>
      <c r="F327" s="154"/>
      <c r="G327" s="154"/>
      <c r="H327" s="154"/>
      <c r="I327" s="17"/>
      <c r="J327" s="15"/>
      <c r="K327" s="213"/>
      <c r="L327" s="213"/>
      <c r="M327" s="213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2.75" customHeight="1" x14ac:dyDescent="0.25">
      <c r="A328" s="15"/>
      <c r="B328" s="15"/>
      <c r="C328" s="141"/>
      <c r="D328" s="100"/>
      <c r="E328" s="100"/>
      <c r="F328" s="216"/>
      <c r="G328" s="142"/>
      <c r="H328" s="17"/>
      <c r="I328" s="17"/>
      <c r="J328" s="15"/>
      <c r="K328" s="213"/>
      <c r="L328" s="213"/>
      <c r="M328" s="213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2.75" customHeight="1" x14ac:dyDescent="0.25">
      <c r="A329" s="15"/>
      <c r="B329" s="15"/>
      <c r="C329" s="141"/>
      <c r="D329" s="158"/>
      <c r="E329" s="158"/>
      <c r="F329" s="216"/>
      <c r="G329" s="142"/>
      <c r="H329" s="17"/>
      <c r="I329" s="17"/>
      <c r="J329" s="15"/>
      <c r="K329" s="213"/>
      <c r="L329" s="213"/>
      <c r="M329" s="213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2.75" customHeight="1" x14ac:dyDescent="0.25">
      <c r="A330" s="15"/>
      <c r="B330" s="15"/>
      <c r="C330" s="141"/>
      <c r="D330" s="100"/>
      <c r="E330" s="100"/>
      <c r="F330" s="142"/>
      <c r="G330" s="142"/>
      <c r="H330" s="17"/>
      <c r="I330" s="17"/>
      <c r="J330" s="15"/>
      <c r="K330" s="213"/>
      <c r="L330" s="213"/>
      <c r="M330" s="213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2.75" customHeight="1" x14ac:dyDescent="0.25">
      <c r="A331" s="15"/>
      <c r="B331" s="15"/>
      <c r="C331" s="141"/>
      <c r="D331" s="158"/>
      <c r="E331" s="158"/>
      <c r="F331" s="216"/>
      <c r="G331" s="142"/>
      <c r="H331" s="17"/>
      <c r="I331" s="17"/>
      <c r="J331" s="15"/>
      <c r="K331" s="213"/>
      <c r="L331" s="213"/>
      <c r="M331" s="213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2.75" customHeight="1" x14ac:dyDescent="0.25">
      <c r="A332" s="15"/>
      <c r="B332" s="15"/>
      <c r="C332" s="141"/>
      <c r="D332" s="100"/>
      <c r="E332" s="100"/>
      <c r="F332" s="142"/>
      <c r="G332" s="142"/>
      <c r="H332" s="17"/>
      <c r="I332" s="17"/>
      <c r="J332" s="15"/>
      <c r="K332" s="213"/>
      <c r="L332" s="213"/>
      <c r="M332" s="213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2.75" customHeight="1" x14ac:dyDescent="0.25">
      <c r="A333" s="15"/>
      <c r="B333" s="15"/>
      <c r="C333" s="141"/>
      <c r="D333" s="158"/>
      <c r="E333" s="158"/>
      <c r="F333" s="216"/>
      <c r="G333" s="142"/>
      <c r="H333" s="17"/>
      <c r="I333" s="17"/>
      <c r="J333" s="15"/>
      <c r="K333" s="213"/>
      <c r="L333" s="213"/>
      <c r="M333" s="213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2.75" customHeight="1" x14ac:dyDescent="0.25">
      <c r="A334" s="15"/>
      <c r="B334" s="15"/>
      <c r="C334" s="141"/>
      <c r="D334" s="100"/>
      <c r="E334" s="100"/>
      <c r="F334" s="142"/>
      <c r="G334" s="142"/>
      <c r="H334" s="17"/>
      <c r="I334" s="17"/>
      <c r="J334" s="15"/>
      <c r="K334" s="213"/>
      <c r="L334" s="213"/>
      <c r="M334" s="213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2.75" customHeight="1" x14ac:dyDescent="0.25">
      <c r="A335" s="15"/>
      <c r="B335" s="15"/>
      <c r="C335" s="141"/>
      <c r="D335" s="158"/>
      <c r="E335" s="158"/>
      <c r="F335" s="216"/>
      <c r="G335" s="142"/>
      <c r="H335" s="17"/>
      <c r="I335" s="17"/>
      <c r="J335" s="15"/>
      <c r="K335" s="213"/>
      <c r="L335" s="213"/>
      <c r="M335" s="213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2.75" customHeight="1" x14ac:dyDescent="0.25">
      <c r="A336" s="15"/>
      <c r="B336" s="15"/>
      <c r="C336" s="141"/>
      <c r="D336" s="100"/>
      <c r="E336" s="100"/>
      <c r="F336" s="142"/>
      <c r="G336" s="142"/>
      <c r="H336" s="17"/>
      <c r="I336" s="17"/>
      <c r="J336" s="15"/>
      <c r="K336" s="213"/>
      <c r="L336" s="213"/>
      <c r="M336" s="213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2.75" customHeight="1" x14ac:dyDescent="0.25">
      <c r="A337" s="15"/>
      <c r="B337" s="15"/>
      <c r="C337" s="141"/>
      <c r="D337" s="158"/>
      <c r="E337" s="158"/>
      <c r="F337" s="216"/>
      <c r="G337" s="142"/>
      <c r="H337" s="17"/>
      <c r="I337" s="17"/>
      <c r="J337" s="15"/>
      <c r="K337" s="213"/>
      <c r="L337" s="213"/>
      <c r="M337" s="213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2.75" customHeight="1" x14ac:dyDescent="0.25">
      <c r="A338" s="15"/>
      <c r="B338" s="44"/>
      <c r="C338" s="143"/>
      <c r="D338" s="217"/>
      <c r="E338" s="217"/>
      <c r="F338" s="218"/>
      <c r="G338" s="142"/>
      <c r="H338" s="17"/>
      <c r="I338" s="17"/>
      <c r="J338" s="15"/>
      <c r="K338" s="213"/>
      <c r="L338" s="213"/>
      <c r="M338" s="213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2.75" customHeight="1" x14ac:dyDescent="0.25">
      <c r="A339" s="15"/>
      <c r="B339" s="15"/>
      <c r="C339" s="15"/>
      <c r="D339" s="15"/>
      <c r="E339" s="15"/>
      <c r="F339" s="17"/>
      <c r="G339" s="17"/>
      <c r="H339" s="42"/>
      <c r="I339" s="17"/>
      <c r="J339" s="15"/>
      <c r="K339" s="213"/>
      <c r="L339" s="213"/>
      <c r="M339" s="213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1.25" customHeight="1" x14ac:dyDescent="0.25">
      <c r="A340" s="15"/>
      <c r="B340" s="15"/>
      <c r="C340" s="15"/>
      <c r="D340" s="15"/>
      <c r="E340" s="15"/>
      <c r="F340" s="17"/>
      <c r="G340" s="17"/>
      <c r="H340" s="17"/>
      <c r="I340" s="17"/>
      <c r="J340" s="15"/>
      <c r="K340" s="213"/>
      <c r="L340" s="213"/>
      <c r="M340" s="213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2.75" customHeight="1" x14ac:dyDescent="0.25">
      <c r="A341" s="15"/>
      <c r="B341" s="15"/>
      <c r="C341" s="15"/>
      <c r="D341" s="15"/>
      <c r="E341" s="15"/>
      <c r="F341" s="17"/>
      <c r="G341" s="17"/>
      <c r="H341" s="17"/>
      <c r="I341" s="17"/>
      <c r="J341" s="15"/>
      <c r="K341" s="213"/>
      <c r="L341" s="213"/>
      <c r="M341" s="213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2.75" customHeight="1" x14ac:dyDescent="0.25">
      <c r="A342" s="15"/>
      <c r="B342" s="153"/>
      <c r="C342" s="153"/>
      <c r="D342" s="153"/>
      <c r="E342" s="153"/>
      <c r="F342" s="154"/>
      <c r="G342" s="154"/>
      <c r="H342" s="154"/>
      <c r="I342" s="17"/>
      <c r="J342" s="15"/>
      <c r="K342" s="213"/>
      <c r="L342" s="213"/>
      <c r="M342" s="213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2.75" customHeight="1" x14ac:dyDescent="0.25">
      <c r="A343" s="15"/>
      <c r="B343" s="15"/>
      <c r="C343" s="141"/>
      <c r="D343" s="158"/>
      <c r="E343" s="158"/>
      <c r="F343" s="142"/>
      <c r="G343" s="142"/>
      <c r="H343" s="17"/>
      <c r="I343" s="17"/>
      <c r="J343" s="15"/>
      <c r="K343" s="213"/>
      <c r="L343" s="213"/>
      <c r="M343" s="213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2.75" customHeight="1" x14ac:dyDescent="0.25">
      <c r="A344" s="15"/>
      <c r="B344" s="15"/>
      <c r="C344" s="15"/>
      <c r="D344" s="15"/>
      <c r="E344" s="15"/>
      <c r="F344" s="17"/>
      <c r="G344" s="17"/>
      <c r="H344" s="42"/>
      <c r="I344" s="17"/>
      <c r="J344" s="15"/>
      <c r="K344" s="213"/>
      <c r="L344" s="213"/>
      <c r="M344" s="213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1.25" customHeight="1" x14ac:dyDescent="0.25">
      <c r="A345" s="15"/>
      <c r="B345" s="15"/>
      <c r="C345" s="15"/>
      <c r="D345" s="15"/>
      <c r="E345" s="15"/>
      <c r="F345" s="17"/>
      <c r="G345" s="17"/>
      <c r="H345" s="17"/>
      <c r="I345" s="17"/>
      <c r="J345" s="15"/>
      <c r="K345" s="213"/>
      <c r="L345" s="213"/>
      <c r="M345" s="213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2.75" customHeight="1" x14ac:dyDescent="0.25">
      <c r="A346" s="15"/>
      <c r="B346" s="15"/>
      <c r="C346" s="15"/>
      <c r="D346" s="15"/>
      <c r="E346" s="15"/>
      <c r="F346" s="17"/>
      <c r="G346" s="17"/>
      <c r="H346" s="17"/>
      <c r="I346" s="17"/>
      <c r="J346" s="15"/>
      <c r="K346" s="213"/>
      <c r="L346" s="213"/>
      <c r="M346" s="213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2.75" customHeight="1" x14ac:dyDescent="0.25">
      <c r="A347" s="15"/>
      <c r="B347" s="153"/>
      <c r="C347" s="153"/>
      <c r="D347" s="153"/>
      <c r="E347" s="153"/>
      <c r="F347" s="154"/>
      <c r="G347" s="154"/>
      <c r="H347" s="154"/>
      <c r="I347" s="17"/>
      <c r="J347" s="15"/>
      <c r="K347" s="213"/>
      <c r="L347" s="213"/>
      <c r="M347" s="213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2.75" customHeight="1" x14ac:dyDescent="0.25">
      <c r="A348" s="15"/>
      <c r="B348" s="15"/>
      <c r="C348" s="141"/>
      <c r="D348" s="141"/>
      <c r="E348" s="141"/>
      <c r="F348" s="142"/>
      <c r="G348" s="142"/>
      <c r="H348" s="17"/>
      <c r="I348" s="17"/>
      <c r="J348" s="15"/>
      <c r="K348" s="213"/>
      <c r="L348" s="213"/>
      <c r="M348" s="213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2.75" customHeight="1" x14ac:dyDescent="0.25">
      <c r="A349" s="15"/>
      <c r="B349" s="15"/>
      <c r="C349" s="141"/>
      <c r="D349" s="141"/>
      <c r="E349" s="141"/>
      <c r="F349" s="142"/>
      <c r="G349" s="142"/>
      <c r="H349" s="17"/>
      <c r="I349" s="17"/>
      <c r="J349" s="15"/>
      <c r="K349" s="213"/>
      <c r="L349" s="213"/>
      <c r="M349" s="213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2.75" customHeight="1" x14ac:dyDescent="0.25">
      <c r="A350" s="15"/>
      <c r="B350" s="15"/>
      <c r="C350" s="141"/>
      <c r="D350" s="142"/>
      <c r="E350" s="142"/>
      <c r="F350" s="142"/>
      <c r="G350" s="142"/>
      <c r="H350" s="17"/>
      <c r="I350" s="17"/>
      <c r="J350" s="15"/>
      <c r="K350" s="213"/>
      <c r="L350" s="213"/>
      <c r="M350" s="213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2.75" customHeight="1" x14ac:dyDescent="0.25">
      <c r="A351" s="15"/>
      <c r="B351" s="15"/>
      <c r="C351" s="141"/>
      <c r="D351" s="219"/>
      <c r="E351" s="219"/>
      <c r="F351" s="142"/>
      <c r="G351" s="142"/>
      <c r="H351" s="17"/>
      <c r="I351" s="17"/>
      <c r="J351" s="15"/>
      <c r="K351" s="213"/>
      <c r="L351" s="213"/>
      <c r="M351" s="213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2.75" customHeight="1" x14ac:dyDescent="0.25">
      <c r="A352" s="15"/>
      <c r="B352" s="15"/>
      <c r="C352" s="141"/>
      <c r="D352" s="158"/>
      <c r="E352" s="158"/>
      <c r="F352" s="142"/>
      <c r="G352" s="142"/>
      <c r="H352" s="17"/>
      <c r="I352" s="17"/>
      <c r="J352" s="15"/>
      <c r="K352" s="213"/>
      <c r="L352" s="213"/>
      <c r="M352" s="213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2.75" customHeight="1" x14ac:dyDescent="0.25">
      <c r="A353" s="15"/>
      <c r="B353" s="15"/>
      <c r="C353" s="15"/>
      <c r="D353" s="15"/>
      <c r="E353" s="15"/>
      <c r="F353" s="17"/>
      <c r="G353" s="17"/>
      <c r="H353" s="42"/>
      <c r="I353" s="17"/>
      <c r="J353" s="15"/>
      <c r="K353" s="213"/>
      <c r="L353" s="213"/>
      <c r="M353" s="213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1.25" customHeight="1" x14ac:dyDescent="0.25">
      <c r="A354" s="15"/>
      <c r="B354" s="15"/>
      <c r="C354" s="15"/>
      <c r="D354" s="15"/>
      <c r="E354" s="15"/>
      <c r="F354" s="17"/>
      <c r="G354" s="17"/>
      <c r="H354" s="17"/>
      <c r="I354" s="17"/>
      <c r="J354" s="15"/>
      <c r="K354" s="213"/>
      <c r="L354" s="213"/>
      <c r="M354" s="213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30.75" customHeight="1" x14ac:dyDescent="0.25">
      <c r="A355" s="15"/>
      <c r="B355" s="220"/>
      <c r="C355" s="220"/>
      <c r="D355" s="220"/>
      <c r="E355" s="220"/>
      <c r="F355" s="220"/>
      <c r="G355" s="220"/>
      <c r="H355" s="220"/>
      <c r="I355" s="17"/>
      <c r="J355" s="15"/>
      <c r="K355" s="213"/>
      <c r="L355" s="213"/>
      <c r="M355" s="213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1.25" customHeight="1" x14ac:dyDescent="0.25">
      <c r="A356" s="15"/>
      <c r="B356" s="15"/>
      <c r="C356" s="15"/>
      <c r="D356" s="15"/>
      <c r="E356" s="15"/>
      <c r="F356" s="17"/>
      <c r="G356" s="17"/>
      <c r="H356" s="17"/>
      <c r="I356" s="17"/>
      <c r="J356" s="15"/>
      <c r="K356" s="213"/>
      <c r="L356" s="213"/>
      <c r="M356" s="213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1.25" customHeight="1" x14ac:dyDescent="0.25">
      <c r="A357" s="15"/>
      <c r="B357" s="211"/>
      <c r="C357" s="15"/>
      <c r="D357" s="15"/>
      <c r="E357" s="15"/>
      <c r="F357" s="17"/>
      <c r="G357" s="17"/>
      <c r="H357" s="17"/>
      <c r="I357" s="17"/>
      <c r="J357" s="15"/>
      <c r="K357" s="213"/>
      <c r="L357" s="213"/>
      <c r="M357" s="213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1.25" customHeight="1" x14ac:dyDescent="0.25">
      <c r="A358" s="15"/>
      <c r="B358" s="153"/>
      <c r="C358" s="153"/>
      <c r="D358" s="153"/>
      <c r="E358" s="153"/>
      <c r="F358" s="154"/>
      <c r="G358" s="154"/>
      <c r="H358" s="154"/>
      <c r="I358" s="17"/>
      <c r="J358" s="15"/>
      <c r="K358" s="213"/>
      <c r="L358" s="213"/>
      <c r="M358" s="213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1.25" customHeight="1" x14ac:dyDescent="0.25">
      <c r="A359" s="15"/>
      <c r="B359" s="15"/>
      <c r="C359" s="141"/>
      <c r="D359" s="141"/>
      <c r="E359" s="141"/>
      <c r="F359" s="142"/>
      <c r="G359" s="142"/>
      <c r="H359" s="17"/>
      <c r="I359" s="17"/>
      <c r="J359" s="15"/>
      <c r="K359" s="213"/>
      <c r="L359" s="213"/>
      <c r="M359" s="213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1.25" customHeight="1" x14ac:dyDescent="0.25">
      <c r="A360" s="15"/>
      <c r="B360" s="15"/>
      <c r="C360" s="141"/>
      <c r="D360" s="141"/>
      <c r="E360" s="141"/>
      <c r="F360" s="142"/>
      <c r="G360" s="142"/>
      <c r="H360" s="17"/>
      <c r="I360" s="17"/>
      <c r="J360" s="15"/>
      <c r="K360" s="213"/>
      <c r="L360" s="213"/>
      <c r="M360" s="213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1.25" customHeight="1" x14ac:dyDescent="0.25">
      <c r="A361" s="15"/>
      <c r="B361" s="15"/>
      <c r="C361" s="141"/>
      <c r="D361" s="141"/>
      <c r="E361" s="141"/>
      <c r="F361" s="142"/>
      <c r="G361" s="142"/>
      <c r="H361" s="142"/>
      <c r="I361" s="17"/>
      <c r="J361" s="15"/>
      <c r="K361" s="213"/>
      <c r="L361" s="213"/>
      <c r="M361" s="213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1.25" customHeight="1" x14ac:dyDescent="0.25">
      <c r="A362" s="15"/>
      <c r="B362" s="15"/>
      <c r="C362" s="141"/>
      <c r="D362" s="142"/>
      <c r="E362" s="142"/>
      <c r="F362" s="142"/>
      <c r="G362" s="142"/>
      <c r="H362" s="17"/>
      <c r="I362" s="17"/>
      <c r="J362" s="15"/>
      <c r="K362" s="213"/>
      <c r="L362" s="213"/>
      <c r="M362" s="213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1.25" customHeight="1" x14ac:dyDescent="0.25">
      <c r="A363" s="15"/>
      <c r="B363" s="44"/>
      <c r="C363" s="143"/>
      <c r="D363" s="143"/>
      <c r="E363" s="143"/>
      <c r="F363" s="42"/>
      <c r="G363" s="42"/>
      <c r="H363" s="17"/>
      <c r="I363" s="17"/>
      <c r="J363" s="15"/>
      <c r="K363" s="213"/>
      <c r="L363" s="213"/>
      <c r="M363" s="213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1.25" customHeight="1" x14ac:dyDescent="0.25">
      <c r="A364" s="15"/>
      <c r="B364" s="44"/>
      <c r="C364" s="143"/>
      <c r="D364" s="143"/>
      <c r="E364" s="143"/>
      <c r="F364" s="42"/>
      <c r="G364" s="42"/>
      <c r="H364" s="17"/>
      <c r="I364" s="17"/>
      <c r="J364" s="15"/>
      <c r="K364" s="213"/>
      <c r="L364" s="213"/>
      <c r="M364" s="213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1.25" customHeight="1" x14ac:dyDescent="0.25">
      <c r="A365" s="15"/>
      <c r="B365" s="44"/>
      <c r="C365" s="143"/>
      <c r="D365" s="141"/>
      <c r="E365" s="141"/>
      <c r="F365" s="42"/>
      <c r="G365" s="42"/>
      <c r="H365" s="17"/>
      <c r="I365" s="17"/>
      <c r="J365" s="15"/>
      <c r="K365" s="213"/>
      <c r="L365" s="213"/>
      <c r="M365" s="213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1.25" customHeight="1" x14ac:dyDescent="0.25">
      <c r="A366" s="15"/>
      <c r="B366" s="214"/>
      <c r="C366" s="214"/>
      <c r="D366" s="214"/>
      <c r="E366" s="214"/>
      <c r="F366" s="205"/>
      <c r="G366" s="17"/>
      <c r="H366" s="42"/>
      <c r="I366" s="17"/>
      <c r="J366" s="15"/>
      <c r="K366" s="213"/>
      <c r="L366" s="213"/>
      <c r="M366" s="213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1.25" customHeight="1" x14ac:dyDescent="0.25">
      <c r="A367" s="15"/>
      <c r="B367" s="15"/>
      <c r="C367" s="15"/>
      <c r="D367" s="15"/>
      <c r="E367" s="15"/>
      <c r="F367" s="17"/>
      <c r="G367" s="17"/>
      <c r="H367" s="17"/>
      <c r="I367" s="17"/>
      <c r="J367" s="15"/>
      <c r="K367" s="213"/>
      <c r="L367" s="213"/>
      <c r="M367" s="213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1.25" customHeight="1" x14ac:dyDescent="0.25">
      <c r="A368" s="15"/>
      <c r="B368" s="211"/>
      <c r="C368" s="15"/>
      <c r="D368" s="15"/>
      <c r="E368" s="15"/>
      <c r="F368" s="17"/>
      <c r="G368" s="17"/>
      <c r="H368" s="17"/>
      <c r="I368" s="17"/>
      <c r="J368" s="15"/>
      <c r="K368" s="213"/>
      <c r="L368" s="213"/>
      <c r="M368" s="213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1.25" customHeight="1" x14ac:dyDescent="0.25">
      <c r="A369" s="15"/>
      <c r="B369" s="153"/>
      <c r="C369" s="153"/>
      <c r="D369" s="153"/>
      <c r="E369" s="153"/>
      <c r="F369" s="154"/>
      <c r="G369" s="154"/>
      <c r="H369" s="154"/>
      <c r="I369" s="17"/>
      <c r="J369" s="15"/>
      <c r="K369" s="213"/>
      <c r="L369" s="213"/>
      <c r="M369" s="213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1.25" customHeight="1" x14ac:dyDescent="0.25">
      <c r="A370" s="15"/>
      <c r="B370" s="15"/>
      <c r="C370" s="141"/>
      <c r="D370" s="141"/>
      <c r="E370" s="141"/>
      <c r="F370" s="142"/>
      <c r="G370" s="142"/>
      <c r="H370" s="142"/>
      <c r="I370" s="17"/>
      <c r="J370" s="15"/>
      <c r="K370" s="213"/>
      <c r="L370" s="213"/>
      <c r="M370" s="213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1.25" customHeight="1" x14ac:dyDescent="0.25">
      <c r="A371" s="15"/>
      <c r="B371" s="15"/>
      <c r="C371" s="141"/>
      <c r="D371" s="141"/>
      <c r="E371" s="141"/>
      <c r="F371" s="142"/>
      <c r="G371" s="142"/>
      <c r="H371" s="142"/>
      <c r="I371" s="17"/>
      <c r="J371" s="15"/>
      <c r="K371" s="213"/>
      <c r="L371" s="213"/>
      <c r="M371" s="213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1.25" customHeight="1" x14ac:dyDescent="0.25">
      <c r="A372" s="15"/>
      <c r="B372" s="15"/>
      <c r="C372" s="141"/>
      <c r="D372" s="142"/>
      <c r="E372" s="142"/>
      <c r="F372" s="142"/>
      <c r="G372" s="142"/>
      <c r="H372" s="142"/>
      <c r="I372" s="17"/>
      <c r="J372" s="15"/>
      <c r="K372" s="213"/>
      <c r="L372" s="213"/>
      <c r="M372" s="213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1.25" customHeight="1" x14ac:dyDescent="0.25">
      <c r="A373" s="15"/>
      <c r="B373" s="15"/>
      <c r="C373" s="141"/>
      <c r="D373" s="142"/>
      <c r="E373" s="142"/>
      <c r="F373" s="142"/>
      <c r="G373" s="142"/>
      <c r="H373" s="142"/>
      <c r="I373" s="17"/>
      <c r="J373" s="15"/>
      <c r="K373" s="213"/>
      <c r="L373" s="213"/>
      <c r="M373" s="213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1.25" customHeight="1" x14ac:dyDescent="0.25">
      <c r="A374" s="15"/>
      <c r="B374" s="44"/>
      <c r="C374" s="143"/>
      <c r="D374" s="143"/>
      <c r="E374" s="143"/>
      <c r="F374" s="42"/>
      <c r="G374" s="42"/>
      <c r="H374" s="142"/>
      <c r="I374" s="17"/>
      <c r="J374" s="15"/>
      <c r="K374" s="213"/>
      <c r="L374" s="213"/>
      <c r="M374" s="213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1.25" customHeight="1" x14ac:dyDescent="0.25">
      <c r="A375" s="15"/>
      <c r="B375" s="44"/>
      <c r="C375" s="143"/>
      <c r="D375" s="143"/>
      <c r="E375" s="143"/>
      <c r="F375" s="42"/>
      <c r="G375" s="42"/>
      <c r="H375" s="142"/>
      <c r="I375" s="17"/>
      <c r="J375" s="15"/>
      <c r="K375" s="213"/>
      <c r="L375" s="213"/>
      <c r="M375" s="213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1.25" customHeight="1" x14ac:dyDescent="0.25">
      <c r="A376" s="15"/>
      <c r="B376" s="44"/>
      <c r="C376" s="143"/>
      <c r="D376" s="141"/>
      <c r="E376" s="141"/>
      <c r="F376" s="42"/>
      <c r="G376" s="42"/>
      <c r="H376" s="142"/>
      <c r="I376" s="17"/>
      <c r="J376" s="15"/>
      <c r="K376" s="213"/>
      <c r="L376" s="213"/>
      <c r="M376" s="213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1.25" customHeight="1" x14ac:dyDescent="0.25">
      <c r="A377" s="15"/>
      <c r="B377" s="15"/>
      <c r="C377" s="15"/>
      <c r="D377" s="141"/>
      <c r="E377" s="141"/>
      <c r="F377" s="205"/>
      <c r="G377" s="17"/>
      <c r="H377" s="42"/>
      <c r="I377" s="17"/>
      <c r="J377" s="15"/>
      <c r="K377" s="213"/>
      <c r="L377" s="213"/>
      <c r="M377" s="213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1.25" customHeight="1" x14ac:dyDescent="0.25">
      <c r="A378" s="15"/>
      <c r="B378" s="15"/>
      <c r="C378" s="15"/>
      <c r="D378" s="15"/>
      <c r="E378" s="15"/>
      <c r="F378" s="17"/>
      <c r="G378" s="17"/>
      <c r="H378" s="17"/>
      <c r="I378" s="17"/>
      <c r="J378" s="15"/>
      <c r="K378" s="213"/>
      <c r="L378" s="213"/>
      <c r="M378" s="213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1.25" customHeight="1" x14ac:dyDescent="0.25">
      <c r="A379" s="15"/>
      <c r="B379" s="15"/>
      <c r="C379" s="15"/>
      <c r="D379" s="15"/>
      <c r="E379" s="15"/>
      <c r="F379" s="17"/>
      <c r="G379" s="17"/>
      <c r="H379" s="17"/>
      <c r="I379" s="17"/>
      <c r="J379" s="15"/>
      <c r="K379" s="213"/>
      <c r="L379" s="213"/>
      <c r="M379" s="213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1.25" customHeight="1" x14ac:dyDescent="0.25">
      <c r="A380" s="15"/>
      <c r="B380" s="153"/>
      <c r="C380" s="153"/>
      <c r="D380" s="153"/>
      <c r="E380" s="153"/>
      <c r="F380" s="154"/>
      <c r="G380" s="154"/>
      <c r="H380" s="154"/>
      <c r="I380" s="17"/>
      <c r="J380" s="15"/>
      <c r="K380" s="213"/>
      <c r="L380" s="213"/>
      <c r="M380" s="213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1.25" customHeight="1" x14ac:dyDescent="0.25">
      <c r="A381" s="15"/>
      <c r="B381" s="15"/>
      <c r="C381" s="141"/>
      <c r="D381" s="142"/>
      <c r="E381" s="142"/>
      <c r="F381" s="142"/>
      <c r="G381" s="142"/>
      <c r="H381" s="17"/>
      <c r="I381" s="17"/>
      <c r="J381" s="15"/>
      <c r="K381" s="213"/>
      <c r="L381" s="213"/>
      <c r="M381" s="213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1.25" customHeight="1" x14ac:dyDescent="0.25">
      <c r="A382" s="15"/>
      <c r="B382" s="15"/>
      <c r="C382" s="141"/>
      <c r="D382" s="142"/>
      <c r="E382" s="142"/>
      <c r="F382" s="142"/>
      <c r="G382" s="142"/>
      <c r="H382" s="17"/>
      <c r="I382" s="17"/>
      <c r="J382" s="15"/>
      <c r="K382" s="213"/>
      <c r="L382" s="213"/>
      <c r="M382" s="213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1.25" customHeight="1" x14ac:dyDescent="0.25">
      <c r="A383" s="15"/>
      <c r="B383" s="15"/>
      <c r="C383" s="141"/>
      <c r="D383" s="142"/>
      <c r="E383" s="142"/>
      <c r="F383" s="142"/>
      <c r="G383" s="142"/>
      <c r="H383" s="42"/>
      <c r="I383" s="17"/>
      <c r="J383" s="15"/>
      <c r="K383" s="213"/>
      <c r="L383" s="213"/>
      <c r="M383" s="213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1.25" customHeight="1" x14ac:dyDescent="0.25">
      <c r="A384" s="15"/>
      <c r="B384" s="44"/>
      <c r="C384" s="143"/>
      <c r="D384" s="143"/>
      <c r="E384" s="143"/>
      <c r="F384" s="42"/>
      <c r="G384" s="42"/>
      <c r="H384" s="17"/>
      <c r="I384" s="17"/>
      <c r="J384" s="15"/>
      <c r="K384" s="213"/>
      <c r="L384" s="213"/>
      <c r="M384" s="213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1.25" customHeight="1" x14ac:dyDescent="0.25">
      <c r="A385" s="15"/>
      <c r="B385" s="15"/>
      <c r="C385" s="15"/>
      <c r="D385" s="15"/>
      <c r="E385" s="15"/>
      <c r="F385" s="205"/>
      <c r="G385" s="17"/>
      <c r="H385" s="42"/>
      <c r="I385" s="17"/>
      <c r="J385" s="15"/>
      <c r="K385" s="213"/>
      <c r="L385" s="213"/>
      <c r="M385" s="213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1.25" customHeight="1" x14ac:dyDescent="0.25">
      <c r="A386" s="15"/>
      <c r="B386" s="15"/>
      <c r="C386" s="15"/>
      <c r="D386" s="15"/>
      <c r="E386" s="15"/>
      <c r="F386" s="17"/>
      <c r="G386" s="17"/>
      <c r="H386" s="17"/>
      <c r="I386" s="17"/>
      <c r="J386" s="15"/>
      <c r="K386" s="213"/>
      <c r="L386" s="213"/>
      <c r="M386" s="213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1.25" customHeight="1" x14ac:dyDescent="0.25">
      <c r="A387" s="15"/>
      <c r="B387" s="15"/>
      <c r="C387" s="215"/>
      <c r="D387" s="15"/>
      <c r="E387" s="15"/>
      <c r="F387" s="17"/>
      <c r="G387" s="17"/>
      <c r="H387" s="17"/>
      <c r="I387" s="17"/>
      <c r="J387" s="15"/>
      <c r="K387" s="213"/>
      <c r="L387" s="213"/>
      <c r="M387" s="213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1.25" customHeight="1" x14ac:dyDescent="0.25">
      <c r="A388" s="15"/>
      <c r="B388" s="15"/>
      <c r="C388" s="215"/>
      <c r="D388" s="15"/>
      <c r="E388" s="15"/>
      <c r="F388" s="17"/>
      <c r="G388" s="17"/>
      <c r="H388" s="17"/>
      <c r="I388" s="17"/>
      <c r="J388" s="15"/>
      <c r="K388" s="213"/>
      <c r="L388" s="213"/>
      <c r="M388" s="213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1.25" customHeight="1" x14ac:dyDescent="0.25">
      <c r="A389" s="15"/>
      <c r="B389" s="44"/>
      <c r="C389" s="215"/>
      <c r="D389" s="15"/>
      <c r="E389" s="15"/>
      <c r="F389" s="17"/>
      <c r="G389" s="17"/>
      <c r="H389" s="17"/>
      <c r="I389" s="17"/>
      <c r="J389" s="15"/>
      <c r="K389" s="213"/>
      <c r="L389" s="213"/>
      <c r="M389" s="213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1.25" customHeight="1" x14ac:dyDescent="0.25">
      <c r="A390" s="15"/>
      <c r="B390" s="15"/>
      <c r="C390" s="215"/>
      <c r="D390" s="15"/>
      <c r="E390" s="15"/>
      <c r="F390" s="17"/>
      <c r="G390" s="17"/>
      <c r="H390" s="17"/>
      <c r="I390" s="17"/>
      <c r="J390" s="15"/>
      <c r="K390" s="213"/>
      <c r="L390" s="213"/>
      <c r="M390" s="213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1.25" customHeight="1" x14ac:dyDescent="0.25">
      <c r="A391" s="15"/>
      <c r="B391" s="153"/>
      <c r="C391" s="153"/>
      <c r="D391" s="153"/>
      <c r="E391" s="153"/>
      <c r="F391" s="154"/>
      <c r="G391" s="154"/>
      <c r="H391" s="154"/>
      <c r="I391" s="17"/>
      <c r="J391" s="15"/>
      <c r="K391" s="213"/>
      <c r="L391" s="213"/>
      <c r="M391" s="213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1.25" customHeight="1" x14ac:dyDescent="0.25">
      <c r="A392" s="15"/>
      <c r="B392" s="15"/>
      <c r="C392" s="141"/>
      <c r="D392" s="100"/>
      <c r="E392" s="100"/>
      <c r="F392" s="216"/>
      <c r="G392" s="142"/>
      <c r="H392" s="17"/>
      <c r="I392" s="17"/>
      <c r="J392" s="15"/>
      <c r="K392" s="213"/>
      <c r="L392" s="213"/>
      <c r="M392" s="213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1.25" customHeight="1" x14ac:dyDescent="0.25">
      <c r="A393" s="15"/>
      <c r="B393" s="15"/>
      <c r="C393" s="141"/>
      <c r="D393" s="158"/>
      <c r="E393" s="158"/>
      <c r="F393" s="216"/>
      <c r="G393" s="142"/>
      <c r="H393" s="17"/>
      <c r="I393" s="17"/>
      <c r="J393" s="15"/>
      <c r="K393" s="213"/>
      <c r="L393" s="213"/>
      <c r="M393" s="213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1.25" customHeight="1" x14ac:dyDescent="0.25">
      <c r="A394" s="15"/>
      <c r="B394" s="15"/>
      <c r="C394" s="141"/>
      <c r="D394" s="100"/>
      <c r="E394" s="100"/>
      <c r="F394" s="142"/>
      <c r="G394" s="142"/>
      <c r="H394" s="17"/>
      <c r="I394" s="17"/>
      <c r="J394" s="15"/>
      <c r="K394" s="213"/>
      <c r="L394" s="213"/>
      <c r="M394" s="213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1.25" customHeight="1" x14ac:dyDescent="0.25">
      <c r="A395" s="15"/>
      <c r="B395" s="15"/>
      <c r="C395" s="141"/>
      <c r="D395" s="158"/>
      <c r="E395" s="158"/>
      <c r="F395" s="216"/>
      <c r="G395" s="142"/>
      <c r="H395" s="17"/>
      <c r="I395" s="17"/>
      <c r="J395" s="15"/>
      <c r="K395" s="213"/>
      <c r="L395" s="213"/>
      <c r="M395" s="213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1.25" customHeight="1" x14ac:dyDescent="0.25">
      <c r="A396" s="15"/>
      <c r="B396" s="15"/>
      <c r="C396" s="141"/>
      <c r="D396" s="100"/>
      <c r="E396" s="100"/>
      <c r="F396" s="142"/>
      <c r="G396" s="142"/>
      <c r="H396" s="17"/>
      <c r="I396" s="17"/>
      <c r="J396" s="15"/>
      <c r="K396" s="213"/>
      <c r="L396" s="213"/>
      <c r="M396" s="213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1.25" customHeight="1" x14ac:dyDescent="0.25">
      <c r="A397" s="15"/>
      <c r="B397" s="15"/>
      <c r="C397" s="141"/>
      <c r="D397" s="158"/>
      <c r="E397" s="158"/>
      <c r="F397" s="216"/>
      <c r="G397" s="142"/>
      <c r="H397" s="17"/>
      <c r="I397" s="17"/>
      <c r="J397" s="15"/>
      <c r="K397" s="213"/>
      <c r="L397" s="213"/>
      <c r="M397" s="213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1.25" customHeight="1" x14ac:dyDescent="0.25">
      <c r="A398" s="15"/>
      <c r="B398" s="15"/>
      <c r="C398" s="141"/>
      <c r="D398" s="100"/>
      <c r="E398" s="100"/>
      <c r="F398" s="142"/>
      <c r="G398" s="142"/>
      <c r="H398" s="17"/>
      <c r="I398" s="17"/>
      <c r="J398" s="15"/>
      <c r="K398" s="213"/>
      <c r="L398" s="213"/>
      <c r="M398" s="213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1.25" customHeight="1" x14ac:dyDescent="0.25">
      <c r="A399" s="15"/>
      <c r="B399" s="15"/>
      <c r="C399" s="141"/>
      <c r="D399" s="158"/>
      <c r="E399" s="158"/>
      <c r="F399" s="216"/>
      <c r="G399" s="142"/>
      <c r="H399" s="17"/>
      <c r="I399" s="17"/>
      <c r="J399" s="15"/>
      <c r="K399" s="213"/>
      <c r="L399" s="213"/>
      <c r="M399" s="213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1.25" customHeight="1" x14ac:dyDescent="0.25">
      <c r="A400" s="15"/>
      <c r="B400" s="15"/>
      <c r="C400" s="141"/>
      <c r="D400" s="100"/>
      <c r="E400" s="100"/>
      <c r="F400" s="142"/>
      <c r="G400" s="142"/>
      <c r="H400" s="17"/>
      <c r="I400" s="17"/>
      <c r="J400" s="15"/>
      <c r="K400" s="213"/>
      <c r="L400" s="213"/>
      <c r="M400" s="213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1.25" customHeight="1" x14ac:dyDescent="0.25">
      <c r="A401" s="15"/>
      <c r="B401" s="15"/>
      <c r="C401" s="141"/>
      <c r="D401" s="158"/>
      <c r="E401" s="158"/>
      <c r="F401" s="216"/>
      <c r="G401" s="142"/>
      <c r="H401" s="17"/>
      <c r="I401" s="17"/>
      <c r="J401" s="15"/>
      <c r="K401" s="213"/>
      <c r="L401" s="213"/>
      <c r="M401" s="213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1.25" customHeight="1" x14ac:dyDescent="0.25">
      <c r="A402" s="15"/>
      <c r="B402" s="44"/>
      <c r="C402" s="143"/>
      <c r="D402" s="217"/>
      <c r="E402" s="217"/>
      <c r="F402" s="218"/>
      <c r="G402" s="142"/>
      <c r="H402" s="17"/>
      <c r="I402" s="17"/>
      <c r="J402" s="15"/>
      <c r="K402" s="213"/>
      <c r="L402" s="213"/>
      <c r="M402" s="213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1.25" customHeight="1" x14ac:dyDescent="0.25">
      <c r="A403" s="15"/>
      <c r="B403" s="15"/>
      <c r="C403" s="15"/>
      <c r="D403" s="15"/>
      <c r="E403" s="15"/>
      <c r="F403" s="17"/>
      <c r="G403" s="17"/>
      <c r="H403" s="42"/>
      <c r="I403" s="17"/>
      <c r="J403" s="15"/>
      <c r="K403" s="213"/>
      <c r="L403" s="213"/>
      <c r="M403" s="213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1.25" customHeight="1" x14ac:dyDescent="0.25">
      <c r="A404" s="15"/>
      <c r="B404" s="15"/>
      <c r="C404" s="15"/>
      <c r="D404" s="15"/>
      <c r="E404" s="15"/>
      <c r="F404" s="17"/>
      <c r="G404" s="17"/>
      <c r="H404" s="17"/>
      <c r="I404" s="17"/>
      <c r="J404" s="15"/>
      <c r="K404" s="213"/>
      <c r="L404" s="213"/>
      <c r="M404" s="213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1.25" customHeight="1" x14ac:dyDescent="0.25">
      <c r="A405" s="15"/>
      <c r="B405" s="15"/>
      <c r="C405" s="15"/>
      <c r="D405" s="15"/>
      <c r="E405" s="15"/>
      <c r="F405" s="17"/>
      <c r="G405" s="17"/>
      <c r="H405" s="17"/>
      <c r="I405" s="17"/>
      <c r="J405" s="15"/>
      <c r="K405" s="213"/>
      <c r="L405" s="213"/>
      <c r="M405" s="213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1.25" customHeight="1" x14ac:dyDescent="0.25">
      <c r="A406" s="15"/>
      <c r="B406" s="153"/>
      <c r="C406" s="153"/>
      <c r="D406" s="153"/>
      <c r="E406" s="153"/>
      <c r="F406" s="154"/>
      <c r="G406" s="154"/>
      <c r="H406" s="154"/>
      <c r="I406" s="17"/>
      <c r="J406" s="15"/>
      <c r="K406" s="213"/>
      <c r="L406" s="213"/>
      <c r="M406" s="213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1.25" customHeight="1" x14ac:dyDescent="0.25">
      <c r="A407" s="15"/>
      <c r="B407" s="15"/>
      <c r="C407" s="141"/>
      <c r="D407" s="158"/>
      <c r="E407" s="158"/>
      <c r="F407" s="142"/>
      <c r="G407" s="142"/>
      <c r="H407" s="17"/>
      <c r="I407" s="17"/>
      <c r="J407" s="15"/>
      <c r="K407" s="213"/>
      <c r="L407" s="213"/>
      <c r="M407" s="213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1.25" customHeight="1" x14ac:dyDescent="0.25">
      <c r="A408" s="15"/>
      <c r="B408" s="15"/>
      <c r="C408" s="15"/>
      <c r="D408" s="15"/>
      <c r="E408" s="15"/>
      <c r="F408" s="17"/>
      <c r="G408" s="17"/>
      <c r="H408" s="42"/>
      <c r="I408" s="17"/>
      <c r="J408" s="15"/>
      <c r="K408" s="213"/>
      <c r="L408" s="213"/>
      <c r="M408" s="213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1.25" customHeight="1" x14ac:dyDescent="0.25">
      <c r="A409" s="15"/>
      <c r="B409" s="15"/>
      <c r="C409" s="15"/>
      <c r="D409" s="15"/>
      <c r="E409" s="15"/>
      <c r="F409" s="17"/>
      <c r="G409" s="17"/>
      <c r="H409" s="17"/>
      <c r="I409" s="17"/>
      <c r="J409" s="15"/>
      <c r="K409" s="213"/>
      <c r="L409" s="213"/>
      <c r="M409" s="213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1.25" customHeight="1" x14ac:dyDescent="0.25">
      <c r="A410" s="15"/>
      <c r="B410" s="15"/>
      <c r="C410" s="15"/>
      <c r="D410" s="15"/>
      <c r="E410" s="15"/>
      <c r="F410" s="17"/>
      <c r="G410" s="17"/>
      <c r="H410" s="17"/>
      <c r="I410" s="17"/>
      <c r="J410" s="15"/>
      <c r="K410" s="213"/>
      <c r="L410" s="213"/>
      <c r="M410" s="213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1.25" customHeight="1" x14ac:dyDescent="0.25">
      <c r="A411" s="15"/>
      <c r="B411" s="153"/>
      <c r="C411" s="153"/>
      <c r="D411" s="153"/>
      <c r="E411" s="153"/>
      <c r="F411" s="154"/>
      <c r="G411" s="154"/>
      <c r="H411" s="154"/>
      <c r="I411" s="17"/>
      <c r="J411" s="15"/>
      <c r="K411" s="213"/>
      <c r="L411" s="213"/>
      <c r="M411" s="213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1.25" customHeight="1" x14ac:dyDescent="0.25">
      <c r="A412" s="15"/>
      <c r="B412" s="15"/>
      <c r="C412" s="141"/>
      <c r="D412" s="141"/>
      <c r="E412" s="141"/>
      <c r="F412" s="142"/>
      <c r="G412" s="142"/>
      <c r="H412" s="17"/>
      <c r="I412" s="17"/>
      <c r="J412" s="15"/>
      <c r="K412" s="213"/>
      <c r="L412" s="213"/>
      <c r="M412" s="213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1.25" customHeight="1" x14ac:dyDescent="0.25">
      <c r="A413" s="15"/>
      <c r="B413" s="15"/>
      <c r="C413" s="141"/>
      <c r="D413" s="141"/>
      <c r="E413" s="141"/>
      <c r="F413" s="142"/>
      <c r="G413" s="142"/>
      <c r="H413" s="17"/>
      <c r="I413" s="17"/>
      <c r="J413" s="15"/>
      <c r="K413" s="213"/>
      <c r="L413" s="213"/>
      <c r="M413" s="213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1.25" customHeight="1" x14ac:dyDescent="0.25">
      <c r="A414" s="15"/>
      <c r="B414" s="15"/>
      <c r="C414" s="141"/>
      <c r="D414" s="142"/>
      <c r="E414" s="142"/>
      <c r="F414" s="142"/>
      <c r="G414" s="142"/>
      <c r="H414" s="17"/>
      <c r="I414" s="17"/>
      <c r="J414" s="15"/>
      <c r="K414" s="213"/>
      <c r="L414" s="213"/>
      <c r="M414" s="213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1.25" customHeight="1" x14ac:dyDescent="0.25">
      <c r="A415" s="15"/>
      <c r="B415" s="15"/>
      <c r="C415" s="141"/>
      <c r="D415" s="219"/>
      <c r="E415" s="219"/>
      <c r="F415" s="142"/>
      <c r="G415" s="142"/>
      <c r="H415" s="17"/>
      <c r="I415" s="17"/>
      <c r="J415" s="15"/>
      <c r="K415" s="213"/>
      <c r="L415" s="213"/>
      <c r="M415" s="213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1.25" customHeight="1" x14ac:dyDescent="0.25">
      <c r="A416" s="15"/>
      <c r="B416" s="15"/>
      <c r="C416" s="141"/>
      <c r="D416" s="158"/>
      <c r="E416" s="158"/>
      <c r="F416" s="142"/>
      <c r="G416" s="142"/>
      <c r="H416" s="17"/>
      <c r="I416" s="17"/>
      <c r="J416" s="15"/>
      <c r="K416" s="213"/>
      <c r="L416" s="213"/>
      <c r="M416" s="213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1.25" customHeight="1" x14ac:dyDescent="0.25">
      <c r="A417" s="15"/>
      <c r="B417" s="15"/>
      <c r="C417" s="15"/>
      <c r="D417" s="15"/>
      <c r="E417" s="15"/>
      <c r="F417" s="17"/>
      <c r="G417" s="17"/>
      <c r="H417" s="42"/>
      <c r="I417" s="17"/>
      <c r="J417" s="15"/>
      <c r="K417" s="213"/>
      <c r="L417" s="213"/>
      <c r="M417" s="213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1.25" customHeight="1" x14ac:dyDescent="0.25">
      <c r="A418" s="15"/>
      <c r="B418" s="15"/>
      <c r="C418" s="15"/>
      <c r="D418" s="15"/>
      <c r="E418" s="15"/>
      <c r="F418" s="17"/>
      <c r="G418" s="17"/>
      <c r="H418" s="17"/>
      <c r="I418" s="17"/>
      <c r="J418" s="15"/>
      <c r="K418" s="213"/>
      <c r="L418" s="213"/>
      <c r="M418" s="213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46.5" customHeight="1" x14ac:dyDescent="0.25">
      <c r="A419" s="15"/>
      <c r="B419" s="212"/>
      <c r="C419" s="212"/>
      <c r="D419" s="212"/>
      <c r="E419" s="212"/>
      <c r="F419" s="212"/>
      <c r="G419" s="212"/>
      <c r="H419" s="212"/>
      <c r="I419" s="17"/>
      <c r="J419" s="15"/>
      <c r="K419" s="213"/>
      <c r="L419" s="213"/>
      <c r="M419" s="213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1.25" customHeight="1" x14ac:dyDescent="0.25">
      <c r="A420" s="15"/>
      <c r="B420" s="15"/>
      <c r="C420" s="15"/>
      <c r="D420" s="15"/>
      <c r="E420" s="15"/>
      <c r="F420" s="17"/>
      <c r="G420" s="17"/>
      <c r="H420" s="17"/>
      <c r="I420" s="17"/>
      <c r="J420" s="15"/>
      <c r="K420" s="213"/>
      <c r="L420" s="213"/>
      <c r="M420" s="213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1.25" customHeight="1" x14ac:dyDescent="0.25">
      <c r="A421" s="15"/>
      <c r="B421" s="211"/>
      <c r="C421" s="15"/>
      <c r="D421" s="15"/>
      <c r="E421" s="15"/>
      <c r="F421" s="17"/>
      <c r="G421" s="17"/>
      <c r="H421" s="17"/>
      <c r="I421" s="17"/>
      <c r="J421" s="15"/>
      <c r="K421" s="213"/>
      <c r="L421" s="213"/>
      <c r="M421" s="213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1.25" customHeight="1" x14ac:dyDescent="0.25">
      <c r="A422" s="15"/>
      <c r="B422" s="153"/>
      <c r="C422" s="153"/>
      <c r="D422" s="153"/>
      <c r="E422" s="153"/>
      <c r="F422" s="154"/>
      <c r="G422" s="154"/>
      <c r="H422" s="154"/>
      <c r="I422" s="17"/>
      <c r="J422" s="15"/>
      <c r="K422" s="213"/>
      <c r="L422" s="213"/>
      <c r="M422" s="213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1.25" customHeight="1" x14ac:dyDescent="0.25">
      <c r="A423" s="15"/>
      <c r="B423" s="15"/>
      <c r="C423" s="141"/>
      <c r="D423" s="141"/>
      <c r="E423" s="141"/>
      <c r="F423" s="142"/>
      <c r="G423" s="142"/>
      <c r="H423" s="17"/>
      <c r="I423" s="17"/>
      <c r="J423" s="15"/>
      <c r="K423" s="213"/>
      <c r="L423" s="213"/>
      <c r="M423" s="213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1.25" customHeight="1" x14ac:dyDescent="0.25">
      <c r="A424" s="15"/>
      <c r="B424" s="15"/>
      <c r="C424" s="141"/>
      <c r="D424" s="141"/>
      <c r="E424" s="141"/>
      <c r="F424" s="142"/>
      <c r="G424" s="142"/>
      <c r="H424" s="17"/>
      <c r="I424" s="17"/>
      <c r="J424" s="15"/>
      <c r="K424" s="213"/>
      <c r="L424" s="213"/>
      <c r="M424" s="213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1.25" customHeight="1" x14ac:dyDescent="0.25">
      <c r="A425" s="15"/>
      <c r="B425" s="15"/>
      <c r="C425" s="141"/>
      <c r="D425" s="141"/>
      <c r="E425" s="141"/>
      <c r="F425" s="142"/>
      <c r="G425" s="142"/>
      <c r="H425" s="142"/>
      <c r="I425" s="17"/>
      <c r="J425" s="15"/>
      <c r="K425" s="213"/>
      <c r="L425" s="213"/>
      <c r="M425" s="213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1.25" customHeight="1" x14ac:dyDescent="0.25">
      <c r="A426" s="15"/>
      <c r="B426" s="15"/>
      <c r="C426" s="141"/>
      <c r="D426" s="142"/>
      <c r="E426" s="142"/>
      <c r="F426" s="142"/>
      <c r="G426" s="142"/>
      <c r="H426" s="17"/>
      <c r="I426" s="17"/>
      <c r="J426" s="15"/>
      <c r="K426" s="213"/>
      <c r="L426" s="213"/>
      <c r="M426" s="213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1.25" customHeight="1" x14ac:dyDescent="0.25">
      <c r="A427" s="15"/>
      <c r="B427" s="44"/>
      <c r="C427" s="143"/>
      <c r="D427" s="143"/>
      <c r="E427" s="143"/>
      <c r="F427" s="42"/>
      <c r="G427" s="42"/>
      <c r="H427" s="17"/>
      <c r="I427" s="17"/>
      <c r="J427" s="15"/>
      <c r="K427" s="213"/>
      <c r="L427" s="213"/>
      <c r="M427" s="213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1.25" customHeight="1" x14ac:dyDescent="0.25">
      <c r="A428" s="15"/>
      <c r="B428" s="15"/>
      <c r="C428" s="141"/>
      <c r="D428" s="141"/>
      <c r="E428" s="141"/>
      <c r="F428" s="142"/>
      <c r="G428" s="142"/>
      <c r="H428" s="17"/>
      <c r="I428" s="17"/>
      <c r="J428" s="15"/>
      <c r="K428" s="213"/>
      <c r="L428" s="213"/>
      <c r="M428" s="213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1.25" customHeight="1" x14ac:dyDescent="0.25">
      <c r="A429" s="15"/>
      <c r="B429" s="15"/>
      <c r="C429" s="141"/>
      <c r="D429" s="141"/>
      <c r="E429" s="141"/>
      <c r="F429" s="142"/>
      <c r="G429" s="142"/>
      <c r="H429" s="17"/>
      <c r="I429" s="17"/>
      <c r="J429" s="15"/>
      <c r="K429" s="213"/>
      <c r="L429" s="213"/>
      <c r="M429" s="213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1.25" customHeight="1" x14ac:dyDescent="0.25">
      <c r="A430" s="15"/>
      <c r="B430" s="15"/>
      <c r="C430" s="141"/>
      <c r="D430" s="141"/>
      <c r="E430" s="141"/>
      <c r="F430" s="142"/>
      <c r="G430" s="142"/>
      <c r="H430" s="142"/>
      <c r="I430" s="17"/>
      <c r="J430" s="15"/>
      <c r="K430" s="213"/>
      <c r="L430" s="213"/>
      <c r="M430" s="213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1.25" customHeight="1" x14ac:dyDescent="0.25">
      <c r="A431" s="15"/>
      <c r="B431" s="15"/>
      <c r="C431" s="141"/>
      <c r="D431" s="17"/>
      <c r="E431" s="17"/>
      <c r="F431" s="142"/>
      <c r="G431" s="142"/>
      <c r="H431" s="17"/>
      <c r="I431" s="17"/>
      <c r="J431" s="15"/>
      <c r="K431" s="213"/>
      <c r="L431" s="213"/>
      <c r="M431" s="213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1.25" customHeight="1" x14ac:dyDescent="0.25">
      <c r="A432" s="15"/>
      <c r="B432" s="44"/>
      <c r="C432" s="143"/>
      <c r="D432" s="143"/>
      <c r="E432" s="143"/>
      <c r="F432" s="42"/>
      <c r="G432" s="42"/>
      <c r="H432" s="17"/>
      <c r="I432" s="17"/>
      <c r="J432" s="15"/>
      <c r="K432" s="213"/>
      <c r="L432" s="213"/>
      <c r="M432" s="213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1.25" customHeight="1" x14ac:dyDescent="0.25">
      <c r="A433" s="15"/>
      <c r="B433" s="44"/>
      <c r="C433" s="143"/>
      <c r="D433" s="143"/>
      <c r="E433" s="143"/>
      <c r="F433" s="42"/>
      <c r="G433" s="42"/>
      <c r="H433" s="17"/>
      <c r="I433" s="17"/>
      <c r="J433" s="15"/>
      <c r="K433" s="213"/>
      <c r="L433" s="213"/>
      <c r="M433" s="213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1.25" customHeight="1" x14ac:dyDescent="0.25">
      <c r="A434" s="15"/>
      <c r="B434" s="44"/>
      <c r="C434" s="143"/>
      <c r="D434" s="141"/>
      <c r="E434" s="141"/>
      <c r="F434" s="42"/>
      <c r="G434" s="42"/>
      <c r="H434" s="17"/>
      <c r="I434" s="17"/>
      <c r="J434" s="15"/>
      <c r="K434" s="213"/>
      <c r="L434" s="213"/>
      <c r="M434" s="213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1.25" customHeight="1" x14ac:dyDescent="0.25">
      <c r="A435" s="15"/>
      <c r="B435" s="214"/>
      <c r="C435" s="214"/>
      <c r="D435" s="214"/>
      <c r="E435" s="214"/>
      <c r="F435" s="205"/>
      <c r="G435" s="17"/>
      <c r="H435" s="42"/>
      <c r="I435" s="17"/>
      <c r="J435" s="15"/>
      <c r="K435" s="213"/>
      <c r="L435" s="213"/>
      <c r="M435" s="213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1.25" customHeight="1" x14ac:dyDescent="0.25">
      <c r="A436" s="15"/>
      <c r="B436" s="15"/>
      <c r="C436" s="15"/>
      <c r="D436" s="15"/>
      <c r="E436" s="15"/>
      <c r="F436" s="17"/>
      <c r="G436" s="17"/>
      <c r="H436" s="17"/>
      <c r="I436" s="17"/>
      <c r="J436" s="15"/>
      <c r="K436" s="213"/>
      <c r="L436" s="213"/>
      <c r="M436" s="213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1.25" customHeight="1" x14ac:dyDescent="0.25">
      <c r="A437" s="15"/>
      <c r="B437" s="211"/>
      <c r="C437" s="15"/>
      <c r="D437" s="15"/>
      <c r="E437" s="15"/>
      <c r="F437" s="17"/>
      <c r="G437" s="17"/>
      <c r="H437" s="17"/>
      <c r="I437" s="17"/>
      <c r="J437" s="15"/>
      <c r="K437" s="213"/>
      <c r="L437" s="213"/>
      <c r="M437" s="213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1.25" customHeight="1" x14ac:dyDescent="0.25">
      <c r="A438" s="15"/>
      <c r="B438" s="153"/>
      <c r="C438" s="153"/>
      <c r="D438" s="153"/>
      <c r="E438" s="153"/>
      <c r="F438" s="154"/>
      <c r="G438" s="154"/>
      <c r="H438" s="154"/>
      <c r="I438" s="17"/>
      <c r="J438" s="15"/>
      <c r="K438" s="213"/>
      <c r="L438" s="213"/>
      <c r="M438" s="213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1.25" customHeight="1" x14ac:dyDescent="0.25">
      <c r="A439" s="15"/>
      <c r="B439" s="15"/>
      <c r="C439" s="141"/>
      <c r="D439" s="141"/>
      <c r="E439" s="141"/>
      <c r="F439" s="142"/>
      <c r="G439" s="142"/>
      <c r="H439" s="142"/>
      <c r="I439" s="17"/>
      <c r="J439" s="15"/>
      <c r="K439" s="213"/>
      <c r="L439" s="213"/>
      <c r="M439" s="213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1.25" customHeight="1" x14ac:dyDescent="0.25">
      <c r="A440" s="15"/>
      <c r="B440" s="15"/>
      <c r="C440" s="141"/>
      <c r="D440" s="141"/>
      <c r="E440" s="141"/>
      <c r="F440" s="142"/>
      <c r="G440" s="142"/>
      <c r="H440" s="142"/>
      <c r="I440" s="17"/>
      <c r="J440" s="15"/>
      <c r="K440" s="213"/>
      <c r="L440" s="213"/>
      <c r="M440" s="213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1.25" customHeight="1" x14ac:dyDescent="0.25">
      <c r="A441" s="15"/>
      <c r="B441" s="15"/>
      <c r="C441" s="141"/>
      <c r="D441" s="142"/>
      <c r="E441" s="142"/>
      <c r="F441" s="142"/>
      <c r="G441" s="142"/>
      <c r="H441" s="142"/>
      <c r="I441" s="17"/>
      <c r="J441" s="15"/>
      <c r="K441" s="213"/>
      <c r="L441" s="213"/>
      <c r="M441" s="213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1.25" customHeight="1" x14ac:dyDescent="0.25">
      <c r="A442" s="15"/>
      <c r="B442" s="15"/>
      <c r="C442" s="141"/>
      <c r="D442" s="142"/>
      <c r="E442" s="142"/>
      <c r="F442" s="142"/>
      <c r="G442" s="142"/>
      <c r="H442" s="142"/>
      <c r="I442" s="17"/>
      <c r="J442" s="15"/>
      <c r="K442" s="213"/>
      <c r="L442" s="213"/>
      <c r="M442" s="213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1.25" customHeight="1" x14ac:dyDescent="0.25">
      <c r="A443" s="15"/>
      <c r="B443" s="44"/>
      <c r="C443" s="143"/>
      <c r="D443" s="143"/>
      <c r="E443" s="143"/>
      <c r="F443" s="42"/>
      <c r="G443" s="42"/>
      <c r="H443" s="142"/>
      <c r="I443" s="17"/>
      <c r="J443" s="15"/>
      <c r="K443" s="213"/>
      <c r="L443" s="213"/>
      <c r="M443" s="213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1.25" customHeight="1" x14ac:dyDescent="0.25">
      <c r="A444" s="15"/>
      <c r="B444" s="15"/>
      <c r="C444" s="141"/>
      <c r="D444" s="141"/>
      <c r="E444" s="141"/>
      <c r="F444" s="142"/>
      <c r="G444" s="142"/>
      <c r="H444" s="142"/>
      <c r="I444" s="17"/>
      <c r="J444" s="15"/>
      <c r="K444" s="213"/>
      <c r="L444" s="213"/>
      <c r="M444" s="213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1.25" customHeight="1" x14ac:dyDescent="0.25">
      <c r="A445" s="15"/>
      <c r="B445" s="15"/>
      <c r="C445" s="141"/>
      <c r="D445" s="141"/>
      <c r="E445" s="141"/>
      <c r="F445" s="142"/>
      <c r="G445" s="142"/>
      <c r="H445" s="142"/>
      <c r="I445" s="17"/>
      <c r="J445" s="15"/>
      <c r="K445" s="213"/>
      <c r="L445" s="213"/>
      <c r="M445" s="213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1.25" customHeight="1" x14ac:dyDescent="0.25">
      <c r="A446" s="15"/>
      <c r="B446" s="15"/>
      <c r="C446" s="141"/>
      <c r="D446" s="142"/>
      <c r="E446" s="142"/>
      <c r="F446" s="142"/>
      <c r="G446" s="142"/>
      <c r="H446" s="142"/>
      <c r="I446" s="17"/>
      <c r="J446" s="15"/>
      <c r="K446" s="213"/>
      <c r="L446" s="213"/>
      <c r="M446" s="213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1.25" customHeight="1" x14ac:dyDescent="0.25">
      <c r="A447" s="15"/>
      <c r="B447" s="15"/>
      <c r="C447" s="141"/>
      <c r="D447" s="142"/>
      <c r="E447" s="142"/>
      <c r="F447" s="142"/>
      <c r="G447" s="142"/>
      <c r="H447" s="142"/>
      <c r="I447" s="17"/>
      <c r="J447" s="15"/>
      <c r="K447" s="213"/>
      <c r="L447" s="213"/>
      <c r="M447" s="213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1.25" customHeight="1" x14ac:dyDescent="0.25">
      <c r="A448" s="15"/>
      <c r="B448" s="44"/>
      <c r="C448" s="143"/>
      <c r="D448" s="143"/>
      <c r="E448" s="143"/>
      <c r="F448" s="42"/>
      <c r="G448" s="42"/>
      <c r="H448" s="142"/>
      <c r="I448" s="17"/>
      <c r="J448" s="15"/>
      <c r="K448" s="213"/>
      <c r="L448" s="213"/>
      <c r="M448" s="213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1.25" customHeight="1" x14ac:dyDescent="0.25">
      <c r="A449" s="15"/>
      <c r="B449" s="44"/>
      <c r="C449" s="143"/>
      <c r="D449" s="143"/>
      <c r="E449" s="143"/>
      <c r="F449" s="42"/>
      <c r="G449" s="42"/>
      <c r="H449" s="142"/>
      <c r="I449" s="17"/>
      <c r="J449" s="15"/>
      <c r="K449" s="213"/>
      <c r="L449" s="213"/>
      <c r="M449" s="213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1.25" customHeight="1" x14ac:dyDescent="0.25">
      <c r="A450" s="15"/>
      <c r="B450" s="44"/>
      <c r="C450" s="143"/>
      <c r="D450" s="141"/>
      <c r="E450" s="141"/>
      <c r="F450" s="42"/>
      <c r="G450" s="42"/>
      <c r="H450" s="142"/>
      <c r="I450" s="17"/>
      <c r="J450" s="15"/>
      <c r="K450" s="213"/>
      <c r="L450" s="213"/>
      <c r="M450" s="213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1.25" customHeight="1" x14ac:dyDescent="0.25">
      <c r="A451" s="15"/>
      <c r="B451" s="15"/>
      <c r="C451" s="15"/>
      <c r="D451" s="141"/>
      <c r="E451" s="141"/>
      <c r="F451" s="205"/>
      <c r="G451" s="17"/>
      <c r="H451" s="42"/>
      <c r="I451" s="17"/>
      <c r="J451" s="15"/>
      <c r="K451" s="213"/>
      <c r="L451" s="213"/>
      <c r="M451" s="213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1.25" customHeight="1" x14ac:dyDescent="0.25">
      <c r="A452" s="15"/>
      <c r="B452" s="15"/>
      <c r="C452" s="15"/>
      <c r="D452" s="15"/>
      <c r="E452" s="15"/>
      <c r="F452" s="17"/>
      <c r="G452" s="17"/>
      <c r="H452" s="17"/>
      <c r="I452" s="17"/>
      <c r="J452" s="15"/>
      <c r="K452" s="213"/>
      <c r="L452" s="213"/>
      <c r="M452" s="213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1.25" customHeight="1" x14ac:dyDescent="0.25">
      <c r="A453" s="15"/>
      <c r="B453" s="15"/>
      <c r="C453" s="15"/>
      <c r="D453" s="15"/>
      <c r="E453" s="15"/>
      <c r="F453" s="17"/>
      <c r="G453" s="17"/>
      <c r="H453" s="17"/>
      <c r="I453" s="17"/>
      <c r="J453" s="15"/>
      <c r="K453" s="213"/>
      <c r="L453" s="213"/>
      <c r="M453" s="213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1.25" customHeight="1" x14ac:dyDescent="0.25">
      <c r="A454" s="15"/>
      <c r="B454" s="153"/>
      <c r="C454" s="153"/>
      <c r="D454" s="153"/>
      <c r="E454" s="153"/>
      <c r="F454" s="154"/>
      <c r="G454" s="154"/>
      <c r="H454" s="154"/>
      <c r="I454" s="17"/>
      <c r="J454" s="15"/>
      <c r="K454" s="213"/>
      <c r="L454" s="213"/>
      <c r="M454" s="213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1.25" customHeight="1" x14ac:dyDescent="0.25">
      <c r="A455" s="15"/>
      <c r="B455" s="15"/>
      <c r="C455" s="141"/>
      <c r="D455" s="142"/>
      <c r="E455" s="142"/>
      <c r="F455" s="142"/>
      <c r="G455" s="142"/>
      <c r="H455" s="17"/>
      <c r="I455" s="17"/>
      <c r="J455" s="15"/>
      <c r="K455" s="213"/>
      <c r="L455" s="213"/>
      <c r="M455" s="213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1.25" customHeight="1" x14ac:dyDescent="0.25">
      <c r="A456" s="15"/>
      <c r="B456" s="15"/>
      <c r="C456" s="141"/>
      <c r="D456" s="142"/>
      <c r="E456" s="142"/>
      <c r="F456" s="142"/>
      <c r="G456" s="142"/>
      <c r="H456" s="17"/>
      <c r="I456" s="17"/>
      <c r="J456" s="15"/>
      <c r="K456" s="213"/>
      <c r="L456" s="213"/>
      <c r="M456" s="213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1.25" customHeight="1" x14ac:dyDescent="0.25">
      <c r="A457" s="15"/>
      <c r="B457" s="15"/>
      <c r="C457" s="141"/>
      <c r="D457" s="142"/>
      <c r="E457" s="142"/>
      <c r="F457" s="142"/>
      <c r="G457" s="142"/>
      <c r="H457" s="42"/>
      <c r="I457" s="17"/>
      <c r="J457" s="15"/>
      <c r="K457" s="213"/>
      <c r="L457" s="213"/>
      <c r="M457" s="213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1.25" customHeight="1" x14ac:dyDescent="0.25">
      <c r="A458" s="15"/>
      <c r="B458" s="44"/>
      <c r="C458" s="143"/>
      <c r="D458" s="143"/>
      <c r="E458" s="143"/>
      <c r="F458" s="42"/>
      <c r="G458" s="42"/>
      <c r="H458" s="17"/>
      <c r="I458" s="17"/>
      <c r="J458" s="15"/>
      <c r="K458" s="213"/>
      <c r="L458" s="213"/>
      <c r="M458" s="213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1.25" customHeight="1" x14ac:dyDescent="0.25">
      <c r="A459" s="15"/>
      <c r="B459" s="15"/>
      <c r="C459" s="15"/>
      <c r="D459" s="15"/>
      <c r="E459" s="15"/>
      <c r="F459" s="205"/>
      <c r="G459" s="17"/>
      <c r="H459" s="42"/>
      <c r="I459" s="17"/>
      <c r="J459" s="15"/>
      <c r="K459" s="213"/>
      <c r="L459" s="213"/>
      <c r="M459" s="213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1.25" customHeight="1" x14ac:dyDescent="0.25">
      <c r="A460" s="15"/>
      <c r="B460" s="15"/>
      <c r="C460" s="15"/>
      <c r="D460" s="15"/>
      <c r="E460" s="15"/>
      <c r="F460" s="17"/>
      <c r="G460" s="17"/>
      <c r="H460" s="17"/>
      <c r="I460" s="17"/>
      <c r="J460" s="15"/>
      <c r="K460" s="213"/>
      <c r="L460" s="213"/>
      <c r="M460" s="213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1.25" customHeight="1" x14ac:dyDescent="0.25">
      <c r="A461" s="15"/>
      <c r="B461" s="15"/>
      <c r="C461" s="215"/>
      <c r="D461" s="15"/>
      <c r="E461" s="15"/>
      <c r="F461" s="17"/>
      <c r="G461" s="17"/>
      <c r="H461" s="17"/>
      <c r="I461" s="17"/>
      <c r="J461" s="15"/>
      <c r="K461" s="213"/>
      <c r="L461" s="213"/>
      <c r="M461" s="213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1.25" customHeight="1" x14ac:dyDescent="0.25">
      <c r="A462" s="15"/>
      <c r="B462" s="15"/>
      <c r="C462" s="215"/>
      <c r="D462" s="15"/>
      <c r="E462" s="15"/>
      <c r="F462" s="17"/>
      <c r="G462" s="17"/>
      <c r="H462" s="17"/>
      <c r="I462" s="17"/>
      <c r="J462" s="15"/>
      <c r="K462" s="213"/>
      <c r="L462" s="213"/>
      <c r="M462" s="213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1.25" customHeight="1" x14ac:dyDescent="0.25">
      <c r="A463" s="15"/>
      <c r="B463" s="44"/>
      <c r="C463" s="215"/>
      <c r="D463" s="15"/>
      <c r="E463" s="15"/>
      <c r="F463" s="17"/>
      <c r="G463" s="17"/>
      <c r="H463" s="17"/>
      <c r="I463" s="17"/>
      <c r="J463" s="15"/>
      <c r="K463" s="213"/>
      <c r="L463" s="213"/>
      <c r="M463" s="213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1.25" customHeight="1" x14ac:dyDescent="0.25">
      <c r="A464" s="15"/>
      <c r="B464" s="15"/>
      <c r="C464" s="215"/>
      <c r="D464" s="15"/>
      <c r="E464" s="15"/>
      <c r="F464" s="17"/>
      <c r="G464" s="17"/>
      <c r="H464" s="17"/>
      <c r="I464" s="17"/>
      <c r="J464" s="15"/>
      <c r="K464" s="213"/>
      <c r="L464" s="213"/>
      <c r="M464" s="213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1.25" customHeight="1" x14ac:dyDescent="0.25">
      <c r="A465" s="15"/>
      <c r="B465" s="153"/>
      <c r="C465" s="153"/>
      <c r="D465" s="153"/>
      <c r="E465" s="153"/>
      <c r="F465" s="154"/>
      <c r="G465" s="154"/>
      <c r="H465" s="154"/>
      <c r="I465" s="17"/>
      <c r="J465" s="15"/>
      <c r="K465" s="213"/>
      <c r="L465" s="213"/>
      <c r="M465" s="213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1.25" customHeight="1" x14ac:dyDescent="0.25">
      <c r="A466" s="15"/>
      <c r="B466" s="15"/>
      <c r="C466" s="141"/>
      <c r="D466" s="100"/>
      <c r="E466" s="100"/>
      <c r="F466" s="216"/>
      <c r="G466" s="142"/>
      <c r="H466" s="17"/>
      <c r="I466" s="17"/>
      <c r="J466" s="15"/>
      <c r="K466" s="213"/>
      <c r="L466" s="213"/>
      <c r="M466" s="213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1.25" customHeight="1" x14ac:dyDescent="0.25">
      <c r="A467" s="15"/>
      <c r="B467" s="15"/>
      <c r="C467" s="141"/>
      <c r="D467" s="158"/>
      <c r="E467" s="158"/>
      <c r="F467" s="216"/>
      <c r="G467" s="142"/>
      <c r="H467" s="17"/>
      <c r="I467" s="17"/>
      <c r="J467" s="15"/>
      <c r="K467" s="213"/>
      <c r="L467" s="213"/>
      <c r="M467" s="213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1.25" customHeight="1" x14ac:dyDescent="0.25">
      <c r="A468" s="15"/>
      <c r="B468" s="15"/>
      <c r="C468" s="141"/>
      <c r="D468" s="100"/>
      <c r="E468" s="100"/>
      <c r="F468" s="142"/>
      <c r="G468" s="142"/>
      <c r="H468" s="17"/>
      <c r="I468" s="17"/>
      <c r="J468" s="15"/>
      <c r="K468" s="213"/>
      <c r="L468" s="213"/>
      <c r="M468" s="213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1.25" customHeight="1" x14ac:dyDescent="0.25">
      <c r="A469" s="15"/>
      <c r="B469" s="15"/>
      <c r="C469" s="141"/>
      <c r="D469" s="158"/>
      <c r="E469" s="158"/>
      <c r="F469" s="216"/>
      <c r="G469" s="142"/>
      <c r="H469" s="17"/>
      <c r="I469" s="17"/>
      <c r="J469" s="15"/>
      <c r="K469" s="213"/>
      <c r="L469" s="213"/>
      <c r="M469" s="213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1.25" customHeight="1" x14ac:dyDescent="0.25">
      <c r="A470" s="15"/>
      <c r="B470" s="15"/>
      <c r="C470" s="141"/>
      <c r="D470" s="100"/>
      <c r="E470" s="100"/>
      <c r="F470" s="142"/>
      <c r="G470" s="142"/>
      <c r="H470" s="17"/>
      <c r="I470" s="17"/>
      <c r="J470" s="15"/>
      <c r="K470" s="213"/>
      <c r="L470" s="213"/>
      <c r="M470" s="213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1.25" customHeight="1" x14ac:dyDescent="0.25">
      <c r="A471" s="15"/>
      <c r="B471" s="15"/>
      <c r="C471" s="141"/>
      <c r="D471" s="158"/>
      <c r="E471" s="158"/>
      <c r="F471" s="216"/>
      <c r="G471" s="142"/>
      <c r="H471" s="17"/>
      <c r="I471" s="17"/>
      <c r="J471" s="15"/>
      <c r="K471" s="213"/>
      <c r="L471" s="213"/>
      <c r="M471" s="213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1.25" customHeight="1" x14ac:dyDescent="0.25">
      <c r="A472" s="15"/>
      <c r="B472" s="15"/>
      <c r="C472" s="141"/>
      <c r="D472" s="100"/>
      <c r="E472" s="100"/>
      <c r="F472" s="142"/>
      <c r="G472" s="142"/>
      <c r="H472" s="17"/>
      <c r="I472" s="17"/>
      <c r="J472" s="15"/>
      <c r="K472" s="213"/>
      <c r="L472" s="213"/>
      <c r="M472" s="213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1.25" customHeight="1" x14ac:dyDescent="0.25">
      <c r="A473" s="15"/>
      <c r="B473" s="15"/>
      <c r="C473" s="141"/>
      <c r="D473" s="158"/>
      <c r="E473" s="158"/>
      <c r="F473" s="216"/>
      <c r="G473" s="142"/>
      <c r="H473" s="17"/>
      <c r="I473" s="17"/>
      <c r="J473" s="15"/>
      <c r="K473" s="213"/>
      <c r="L473" s="213"/>
      <c r="M473" s="213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1.25" customHeight="1" x14ac:dyDescent="0.25">
      <c r="A474" s="15"/>
      <c r="B474" s="15"/>
      <c r="C474" s="141"/>
      <c r="D474" s="100"/>
      <c r="E474" s="100"/>
      <c r="F474" s="142"/>
      <c r="G474" s="142"/>
      <c r="H474" s="17"/>
      <c r="I474" s="17"/>
      <c r="J474" s="15"/>
      <c r="K474" s="213"/>
      <c r="L474" s="213"/>
      <c r="M474" s="213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1.25" customHeight="1" x14ac:dyDescent="0.25">
      <c r="A475" s="15"/>
      <c r="B475" s="15"/>
      <c r="C475" s="141"/>
      <c r="D475" s="158"/>
      <c r="E475" s="158"/>
      <c r="F475" s="216"/>
      <c r="G475" s="142"/>
      <c r="H475" s="17"/>
      <c r="I475" s="17"/>
      <c r="J475" s="15"/>
      <c r="K475" s="213"/>
      <c r="L475" s="213"/>
      <c r="M475" s="213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1.25" customHeight="1" x14ac:dyDescent="0.25">
      <c r="A476" s="15"/>
      <c r="B476" s="44"/>
      <c r="C476" s="143"/>
      <c r="D476" s="217"/>
      <c r="E476" s="217"/>
      <c r="F476" s="218"/>
      <c r="G476" s="142"/>
      <c r="H476" s="17"/>
      <c r="I476" s="17"/>
      <c r="J476" s="15"/>
      <c r="K476" s="213"/>
      <c r="L476" s="213"/>
      <c r="M476" s="213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1.25" customHeight="1" x14ac:dyDescent="0.25">
      <c r="A477" s="15"/>
      <c r="B477" s="15"/>
      <c r="C477" s="15"/>
      <c r="D477" s="15"/>
      <c r="E477" s="15"/>
      <c r="F477" s="17"/>
      <c r="G477" s="17"/>
      <c r="H477" s="42"/>
      <c r="I477" s="17"/>
      <c r="J477" s="15"/>
      <c r="K477" s="213"/>
      <c r="L477" s="213"/>
      <c r="M477" s="213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1.25" customHeight="1" x14ac:dyDescent="0.25">
      <c r="A478" s="15"/>
      <c r="B478" s="15"/>
      <c r="C478" s="15"/>
      <c r="D478" s="15"/>
      <c r="E478" s="15"/>
      <c r="F478" s="17"/>
      <c r="G478" s="17"/>
      <c r="H478" s="17"/>
      <c r="I478" s="17"/>
      <c r="J478" s="15"/>
      <c r="K478" s="213"/>
      <c r="L478" s="213"/>
      <c r="M478" s="213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1.25" customHeight="1" x14ac:dyDescent="0.25">
      <c r="A479" s="15"/>
      <c r="B479" s="15"/>
      <c r="C479" s="15"/>
      <c r="D479" s="15"/>
      <c r="E479" s="15"/>
      <c r="F479" s="17"/>
      <c r="G479" s="17"/>
      <c r="H479" s="17"/>
      <c r="I479" s="17"/>
      <c r="J479" s="15"/>
      <c r="K479" s="213"/>
      <c r="L479" s="213"/>
      <c r="M479" s="213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1.25" customHeight="1" x14ac:dyDescent="0.25">
      <c r="A480" s="15"/>
      <c r="B480" s="153"/>
      <c r="C480" s="153"/>
      <c r="D480" s="153"/>
      <c r="E480" s="153"/>
      <c r="F480" s="154"/>
      <c r="G480" s="154"/>
      <c r="H480" s="154"/>
      <c r="I480" s="17"/>
      <c r="J480" s="15"/>
      <c r="K480" s="213"/>
      <c r="L480" s="213"/>
      <c r="M480" s="213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1.25" customHeight="1" x14ac:dyDescent="0.25">
      <c r="A481" s="15"/>
      <c r="B481" s="15"/>
      <c r="C481" s="141"/>
      <c r="D481" s="158"/>
      <c r="E481" s="158"/>
      <c r="F481" s="142"/>
      <c r="G481" s="142"/>
      <c r="H481" s="17"/>
      <c r="I481" s="17"/>
      <c r="J481" s="15"/>
      <c r="K481" s="213"/>
      <c r="L481" s="213"/>
      <c r="M481" s="213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1.25" customHeight="1" x14ac:dyDescent="0.25">
      <c r="A482" s="15"/>
      <c r="B482" s="15"/>
      <c r="C482" s="15"/>
      <c r="D482" s="15"/>
      <c r="E482" s="15"/>
      <c r="F482" s="17"/>
      <c r="G482" s="17"/>
      <c r="H482" s="42"/>
      <c r="I482" s="17"/>
      <c r="J482" s="15"/>
      <c r="K482" s="213"/>
      <c r="L482" s="213"/>
      <c r="M482" s="213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1.25" customHeight="1" x14ac:dyDescent="0.25">
      <c r="A483" s="15"/>
      <c r="B483" s="15"/>
      <c r="C483" s="15"/>
      <c r="D483" s="15"/>
      <c r="E483" s="15"/>
      <c r="F483" s="17"/>
      <c r="G483" s="17"/>
      <c r="H483" s="17"/>
      <c r="I483" s="17"/>
      <c r="J483" s="15"/>
      <c r="K483" s="213"/>
      <c r="L483" s="213"/>
      <c r="M483" s="213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1.25" customHeight="1" x14ac:dyDescent="0.25">
      <c r="A484" s="15"/>
      <c r="B484" s="15"/>
      <c r="C484" s="15"/>
      <c r="D484" s="15"/>
      <c r="E484" s="15"/>
      <c r="F484" s="17"/>
      <c r="G484" s="17"/>
      <c r="H484" s="17"/>
      <c r="I484" s="17"/>
      <c r="J484" s="15"/>
      <c r="K484" s="213"/>
      <c r="L484" s="213"/>
      <c r="M484" s="213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1.25" customHeight="1" x14ac:dyDescent="0.25">
      <c r="A485" s="15"/>
      <c r="B485" s="153"/>
      <c r="C485" s="153"/>
      <c r="D485" s="153"/>
      <c r="E485" s="153"/>
      <c r="F485" s="154"/>
      <c r="G485" s="154"/>
      <c r="H485" s="154"/>
      <c r="I485" s="17"/>
      <c r="J485" s="15"/>
      <c r="K485" s="213"/>
      <c r="L485" s="213"/>
      <c r="M485" s="213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1.25" customHeight="1" x14ac:dyDescent="0.25">
      <c r="A486" s="15"/>
      <c r="B486" s="15"/>
      <c r="C486" s="141"/>
      <c r="D486" s="141"/>
      <c r="E486" s="141"/>
      <c r="F486" s="142"/>
      <c r="G486" s="142"/>
      <c r="H486" s="17"/>
      <c r="I486" s="17"/>
      <c r="J486" s="15"/>
      <c r="K486" s="213"/>
      <c r="L486" s="213"/>
      <c r="M486" s="213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1.25" customHeight="1" x14ac:dyDescent="0.25">
      <c r="A487" s="15"/>
      <c r="B487" s="15"/>
      <c r="C487" s="141"/>
      <c r="D487" s="141"/>
      <c r="E487" s="141"/>
      <c r="F487" s="142"/>
      <c r="G487" s="142"/>
      <c r="H487" s="17"/>
      <c r="I487" s="17"/>
      <c r="J487" s="15"/>
      <c r="K487" s="213"/>
      <c r="L487" s="213"/>
      <c r="M487" s="213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1.25" customHeight="1" x14ac:dyDescent="0.25">
      <c r="A488" s="15"/>
      <c r="B488" s="15"/>
      <c r="C488" s="141"/>
      <c r="D488" s="142"/>
      <c r="E488" s="142"/>
      <c r="F488" s="142"/>
      <c r="G488" s="142"/>
      <c r="H488" s="17"/>
      <c r="I488" s="17"/>
      <c r="J488" s="15"/>
      <c r="K488" s="213"/>
      <c r="L488" s="213"/>
      <c r="M488" s="213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1.25" customHeight="1" x14ac:dyDescent="0.25">
      <c r="A489" s="15"/>
      <c r="B489" s="15"/>
      <c r="C489" s="141"/>
      <c r="D489" s="219"/>
      <c r="E489" s="219"/>
      <c r="F489" s="142"/>
      <c r="G489" s="142"/>
      <c r="H489" s="17"/>
      <c r="I489" s="17"/>
      <c r="J489" s="15"/>
      <c r="K489" s="213"/>
      <c r="L489" s="213"/>
      <c r="M489" s="213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1.25" customHeight="1" x14ac:dyDescent="0.25">
      <c r="A490" s="15"/>
      <c r="B490" s="15"/>
      <c r="C490" s="141"/>
      <c r="D490" s="158"/>
      <c r="E490" s="158"/>
      <c r="F490" s="142"/>
      <c r="G490" s="142"/>
      <c r="H490" s="17"/>
      <c r="I490" s="17"/>
      <c r="J490" s="15"/>
      <c r="K490" s="213"/>
      <c r="L490" s="213"/>
      <c r="M490" s="213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1.25" customHeight="1" x14ac:dyDescent="0.25">
      <c r="A491" s="15"/>
      <c r="B491" s="15"/>
      <c r="C491" s="15"/>
      <c r="D491" s="15"/>
      <c r="E491" s="15"/>
      <c r="F491" s="17"/>
      <c r="G491" s="17"/>
      <c r="H491" s="42"/>
      <c r="I491" s="17"/>
      <c r="J491" s="15"/>
      <c r="K491" s="213"/>
      <c r="L491" s="213"/>
      <c r="M491" s="213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1.25" customHeight="1" x14ac:dyDescent="0.25">
      <c r="A492" s="15"/>
      <c r="B492" s="15"/>
      <c r="C492" s="15"/>
      <c r="D492" s="15"/>
      <c r="E492" s="15"/>
      <c r="F492" s="17"/>
      <c r="G492" s="17"/>
      <c r="H492" s="17"/>
      <c r="I492" s="17"/>
      <c r="J492" s="15"/>
      <c r="K492" s="213"/>
      <c r="L492" s="213"/>
      <c r="M492" s="213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44.25" customHeight="1" x14ac:dyDescent="0.25">
      <c r="A493" s="15"/>
      <c r="B493" s="212"/>
      <c r="C493" s="212"/>
      <c r="D493" s="212"/>
      <c r="E493" s="212"/>
      <c r="F493" s="212"/>
      <c r="G493" s="212"/>
      <c r="H493" s="212"/>
      <c r="I493" s="17"/>
      <c r="J493" s="15"/>
      <c r="K493" s="213"/>
      <c r="L493" s="213"/>
      <c r="M493" s="213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1.25" customHeight="1" x14ac:dyDescent="0.25">
      <c r="A494" s="15"/>
      <c r="B494" s="15"/>
      <c r="C494" s="15"/>
      <c r="D494" s="15"/>
      <c r="E494" s="15"/>
      <c r="F494" s="17"/>
      <c r="G494" s="17"/>
      <c r="H494" s="17"/>
      <c r="I494" s="17"/>
      <c r="J494" s="15"/>
      <c r="K494" s="213"/>
      <c r="L494" s="213"/>
      <c r="M494" s="213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1.25" customHeight="1" x14ac:dyDescent="0.25">
      <c r="A495" s="15"/>
      <c r="B495" s="211"/>
      <c r="C495" s="15"/>
      <c r="D495" s="15"/>
      <c r="E495" s="15"/>
      <c r="F495" s="17"/>
      <c r="G495" s="17"/>
      <c r="H495" s="17"/>
      <c r="I495" s="17"/>
      <c r="J495" s="15"/>
      <c r="K495" s="213"/>
      <c r="L495" s="213"/>
      <c r="M495" s="213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1.25" customHeight="1" x14ac:dyDescent="0.25">
      <c r="A496" s="15"/>
      <c r="B496" s="153"/>
      <c r="C496" s="153"/>
      <c r="D496" s="153"/>
      <c r="E496" s="153"/>
      <c r="F496" s="154"/>
      <c r="G496" s="154"/>
      <c r="H496" s="154"/>
      <c r="I496" s="17"/>
      <c r="J496" s="15"/>
      <c r="K496" s="213"/>
      <c r="L496" s="213"/>
      <c r="M496" s="213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1.25" customHeight="1" x14ac:dyDescent="0.25">
      <c r="A497" s="15"/>
      <c r="B497" s="15"/>
      <c r="C497" s="141"/>
      <c r="D497" s="141"/>
      <c r="E497" s="141"/>
      <c r="F497" s="142"/>
      <c r="G497" s="142"/>
      <c r="H497" s="17"/>
      <c r="I497" s="17"/>
      <c r="J497" s="15"/>
      <c r="K497" s="213"/>
      <c r="L497" s="213"/>
      <c r="M497" s="213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1.25" customHeight="1" x14ac:dyDescent="0.25">
      <c r="A498" s="15"/>
      <c r="B498" s="15"/>
      <c r="C498" s="141"/>
      <c r="D498" s="141"/>
      <c r="E498" s="141"/>
      <c r="F498" s="142"/>
      <c r="G498" s="142"/>
      <c r="H498" s="17"/>
      <c r="I498" s="17"/>
      <c r="J498" s="15"/>
      <c r="K498" s="213"/>
      <c r="L498" s="213"/>
      <c r="M498" s="213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1.25" customHeight="1" x14ac:dyDescent="0.25">
      <c r="A499" s="15"/>
      <c r="B499" s="15"/>
      <c r="C499" s="141"/>
      <c r="D499" s="141"/>
      <c r="E499" s="141"/>
      <c r="F499" s="142"/>
      <c r="G499" s="142"/>
      <c r="H499" s="142"/>
      <c r="I499" s="17"/>
      <c r="J499" s="15"/>
      <c r="K499" s="213"/>
      <c r="L499" s="213"/>
      <c r="M499" s="213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1.25" customHeight="1" x14ac:dyDescent="0.25">
      <c r="A500" s="15"/>
      <c r="B500" s="15"/>
      <c r="C500" s="141"/>
      <c r="D500" s="142"/>
      <c r="E500" s="142"/>
      <c r="F500" s="142"/>
      <c r="G500" s="142"/>
      <c r="H500" s="17"/>
      <c r="I500" s="17"/>
      <c r="J500" s="15"/>
      <c r="K500" s="213"/>
      <c r="L500" s="213"/>
      <c r="M500" s="213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1.25" customHeight="1" x14ac:dyDescent="0.25">
      <c r="A501" s="15"/>
      <c r="B501" s="44"/>
      <c r="C501" s="143"/>
      <c r="D501" s="143"/>
      <c r="E501" s="143"/>
      <c r="F501" s="42"/>
      <c r="G501" s="42"/>
      <c r="H501" s="17"/>
      <c r="I501" s="17"/>
      <c r="J501" s="15"/>
      <c r="K501" s="213"/>
      <c r="L501" s="213"/>
      <c r="M501" s="213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1.25" customHeight="1" x14ac:dyDescent="0.25">
      <c r="A502" s="15"/>
      <c r="B502" s="15"/>
      <c r="C502" s="141"/>
      <c r="D502" s="141"/>
      <c r="E502" s="141"/>
      <c r="F502" s="142"/>
      <c r="G502" s="142"/>
      <c r="H502" s="17"/>
      <c r="I502" s="17"/>
      <c r="J502" s="15"/>
      <c r="K502" s="213"/>
      <c r="L502" s="213"/>
      <c r="M502" s="213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1.25" customHeight="1" x14ac:dyDescent="0.25">
      <c r="A503" s="15"/>
      <c r="B503" s="15"/>
      <c r="C503" s="141"/>
      <c r="D503" s="141"/>
      <c r="E503" s="141"/>
      <c r="F503" s="142"/>
      <c r="G503" s="142"/>
      <c r="H503" s="17"/>
      <c r="I503" s="17"/>
      <c r="J503" s="15"/>
      <c r="K503" s="213"/>
      <c r="L503" s="213"/>
      <c r="M503" s="213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1.25" customHeight="1" x14ac:dyDescent="0.25">
      <c r="A504" s="15"/>
      <c r="B504" s="15"/>
      <c r="C504" s="141"/>
      <c r="D504" s="141"/>
      <c r="E504" s="141"/>
      <c r="F504" s="142"/>
      <c r="G504" s="142"/>
      <c r="H504" s="142"/>
      <c r="I504" s="17"/>
      <c r="J504" s="15"/>
      <c r="K504" s="213"/>
      <c r="L504" s="213"/>
      <c r="M504" s="213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1.25" customHeight="1" x14ac:dyDescent="0.25">
      <c r="A505" s="15"/>
      <c r="B505" s="15"/>
      <c r="C505" s="141"/>
      <c r="D505" s="17"/>
      <c r="E505" s="17"/>
      <c r="F505" s="142"/>
      <c r="G505" s="142"/>
      <c r="H505" s="17"/>
      <c r="I505" s="17"/>
      <c r="J505" s="15"/>
      <c r="K505" s="213"/>
      <c r="L505" s="213"/>
      <c r="M505" s="213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1.25" customHeight="1" x14ac:dyDescent="0.25">
      <c r="A506" s="15"/>
      <c r="B506" s="44"/>
      <c r="C506" s="143"/>
      <c r="D506" s="143"/>
      <c r="E506" s="143"/>
      <c r="F506" s="42"/>
      <c r="G506" s="42"/>
      <c r="H506" s="17"/>
      <c r="I506" s="17"/>
      <c r="J506" s="15"/>
      <c r="K506" s="213"/>
      <c r="L506" s="213"/>
      <c r="M506" s="213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1.25" customHeight="1" x14ac:dyDescent="0.25">
      <c r="A507" s="15"/>
      <c r="B507" s="44"/>
      <c r="C507" s="143"/>
      <c r="D507" s="143"/>
      <c r="E507" s="143"/>
      <c r="F507" s="42"/>
      <c r="G507" s="42"/>
      <c r="H507" s="17"/>
      <c r="I507" s="17"/>
      <c r="J507" s="15"/>
      <c r="K507" s="213"/>
      <c r="L507" s="213"/>
      <c r="M507" s="213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1.25" customHeight="1" x14ac:dyDescent="0.25">
      <c r="A508" s="15"/>
      <c r="B508" s="44"/>
      <c r="C508" s="143"/>
      <c r="D508" s="141"/>
      <c r="E508" s="141"/>
      <c r="F508" s="42"/>
      <c r="G508" s="42"/>
      <c r="H508" s="17"/>
      <c r="I508" s="17"/>
      <c r="J508" s="15"/>
      <c r="K508" s="213"/>
      <c r="L508" s="213"/>
      <c r="M508" s="213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1.25" customHeight="1" x14ac:dyDescent="0.25">
      <c r="A509" s="15"/>
      <c r="B509" s="214"/>
      <c r="C509" s="214"/>
      <c r="D509" s="214"/>
      <c r="E509" s="214"/>
      <c r="F509" s="205"/>
      <c r="G509" s="17"/>
      <c r="H509" s="42"/>
      <c r="I509" s="17"/>
      <c r="J509" s="15"/>
      <c r="K509" s="213"/>
      <c r="L509" s="213"/>
      <c r="M509" s="213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1.25" customHeight="1" x14ac:dyDescent="0.25">
      <c r="A510" s="15"/>
      <c r="B510" s="15"/>
      <c r="C510" s="15"/>
      <c r="D510" s="15"/>
      <c r="E510" s="15"/>
      <c r="F510" s="17"/>
      <c r="G510" s="17"/>
      <c r="H510" s="17"/>
      <c r="I510" s="17"/>
      <c r="J510" s="15"/>
      <c r="K510" s="213"/>
      <c r="L510" s="213"/>
      <c r="M510" s="213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1.25" customHeight="1" x14ac:dyDescent="0.25">
      <c r="A511" s="15"/>
      <c r="B511" s="211"/>
      <c r="C511" s="15"/>
      <c r="D511" s="15"/>
      <c r="E511" s="15"/>
      <c r="F511" s="17"/>
      <c r="G511" s="17"/>
      <c r="H511" s="17"/>
      <c r="I511" s="17"/>
      <c r="J511" s="15"/>
      <c r="K511" s="213"/>
      <c r="L511" s="213"/>
      <c r="M511" s="213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1.25" customHeight="1" x14ac:dyDescent="0.25">
      <c r="A512" s="15"/>
      <c r="B512" s="153"/>
      <c r="C512" s="153"/>
      <c r="D512" s="153"/>
      <c r="E512" s="153"/>
      <c r="F512" s="154"/>
      <c r="G512" s="154"/>
      <c r="H512" s="154"/>
      <c r="I512" s="17"/>
      <c r="J512" s="15"/>
      <c r="K512" s="213"/>
      <c r="L512" s="213"/>
      <c r="M512" s="213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1.25" customHeight="1" x14ac:dyDescent="0.25">
      <c r="A513" s="15"/>
      <c r="B513" s="15"/>
      <c r="C513" s="141"/>
      <c r="D513" s="141"/>
      <c r="E513" s="141"/>
      <c r="F513" s="142"/>
      <c r="G513" s="142"/>
      <c r="H513" s="142"/>
      <c r="I513" s="17"/>
      <c r="J513" s="15"/>
      <c r="K513" s="213"/>
      <c r="L513" s="213"/>
      <c r="M513" s="213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1.25" customHeight="1" x14ac:dyDescent="0.25">
      <c r="A514" s="15"/>
      <c r="B514" s="15"/>
      <c r="C514" s="141"/>
      <c r="D514" s="141"/>
      <c r="E514" s="141"/>
      <c r="F514" s="142"/>
      <c r="G514" s="142"/>
      <c r="H514" s="142"/>
      <c r="I514" s="17"/>
      <c r="J514" s="15"/>
      <c r="K514" s="213"/>
      <c r="L514" s="213"/>
      <c r="M514" s="213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1.25" customHeight="1" x14ac:dyDescent="0.25">
      <c r="A515" s="15"/>
      <c r="B515" s="15"/>
      <c r="C515" s="141"/>
      <c r="D515" s="142"/>
      <c r="E515" s="142"/>
      <c r="F515" s="142"/>
      <c r="G515" s="142"/>
      <c r="H515" s="142"/>
      <c r="I515" s="17"/>
      <c r="J515" s="15"/>
      <c r="K515" s="213"/>
      <c r="L515" s="213"/>
      <c r="M515" s="213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1.25" customHeight="1" x14ac:dyDescent="0.25">
      <c r="A516" s="15"/>
      <c r="B516" s="15"/>
      <c r="C516" s="141"/>
      <c r="D516" s="142"/>
      <c r="E516" s="142"/>
      <c r="F516" s="142"/>
      <c r="G516" s="142"/>
      <c r="H516" s="142"/>
      <c r="I516" s="17"/>
      <c r="J516" s="15"/>
      <c r="K516" s="213"/>
      <c r="L516" s="213"/>
      <c r="M516" s="213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1.25" customHeight="1" x14ac:dyDescent="0.25">
      <c r="A517" s="15"/>
      <c r="B517" s="44"/>
      <c r="C517" s="143"/>
      <c r="D517" s="143"/>
      <c r="E517" s="143"/>
      <c r="F517" s="42"/>
      <c r="G517" s="42"/>
      <c r="H517" s="142"/>
      <c r="I517" s="17"/>
      <c r="J517" s="15"/>
      <c r="K517" s="213"/>
      <c r="L517" s="213"/>
      <c r="M517" s="213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1.25" customHeight="1" x14ac:dyDescent="0.25">
      <c r="A518" s="15"/>
      <c r="B518" s="15"/>
      <c r="C518" s="141"/>
      <c r="D518" s="141"/>
      <c r="E518" s="141"/>
      <c r="F518" s="142"/>
      <c r="G518" s="142"/>
      <c r="H518" s="142"/>
      <c r="I518" s="17"/>
      <c r="J518" s="15"/>
      <c r="K518" s="213"/>
      <c r="L518" s="213"/>
      <c r="M518" s="213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1.25" customHeight="1" x14ac:dyDescent="0.25">
      <c r="A519" s="15"/>
      <c r="B519" s="15"/>
      <c r="C519" s="141"/>
      <c r="D519" s="141"/>
      <c r="E519" s="141"/>
      <c r="F519" s="142"/>
      <c r="G519" s="142"/>
      <c r="H519" s="142"/>
      <c r="I519" s="17"/>
      <c r="J519" s="15"/>
      <c r="K519" s="213"/>
      <c r="L519" s="213"/>
      <c r="M519" s="213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1.25" customHeight="1" x14ac:dyDescent="0.25">
      <c r="A520" s="15"/>
      <c r="B520" s="15"/>
      <c r="C520" s="141"/>
      <c r="D520" s="142"/>
      <c r="E520" s="142"/>
      <c r="F520" s="142"/>
      <c r="G520" s="142"/>
      <c r="H520" s="142"/>
      <c r="I520" s="17"/>
      <c r="J520" s="15"/>
      <c r="K520" s="213"/>
      <c r="L520" s="213"/>
      <c r="M520" s="213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1.25" customHeight="1" x14ac:dyDescent="0.25">
      <c r="A521" s="15"/>
      <c r="B521" s="15"/>
      <c r="C521" s="141"/>
      <c r="D521" s="142"/>
      <c r="E521" s="142"/>
      <c r="F521" s="142"/>
      <c r="G521" s="142"/>
      <c r="H521" s="142"/>
      <c r="I521" s="17"/>
      <c r="J521" s="15"/>
      <c r="K521" s="213"/>
      <c r="L521" s="213"/>
      <c r="M521" s="213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1.25" customHeight="1" x14ac:dyDescent="0.25">
      <c r="A522" s="15"/>
      <c r="B522" s="44"/>
      <c r="C522" s="143"/>
      <c r="D522" s="143"/>
      <c r="E522" s="143"/>
      <c r="F522" s="42"/>
      <c r="G522" s="42"/>
      <c r="H522" s="142"/>
      <c r="I522" s="17"/>
      <c r="J522" s="15"/>
      <c r="K522" s="213"/>
      <c r="L522" s="213"/>
      <c r="M522" s="213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1.25" customHeight="1" x14ac:dyDescent="0.25">
      <c r="A523" s="15"/>
      <c r="B523" s="44"/>
      <c r="C523" s="143"/>
      <c r="D523" s="143"/>
      <c r="E523" s="143"/>
      <c r="F523" s="42"/>
      <c r="G523" s="42"/>
      <c r="H523" s="142"/>
      <c r="I523" s="17"/>
      <c r="J523" s="15"/>
      <c r="K523" s="213"/>
      <c r="L523" s="213"/>
      <c r="M523" s="213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1.25" customHeight="1" x14ac:dyDescent="0.25">
      <c r="A524" s="15"/>
      <c r="B524" s="44"/>
      <c r="C524" s="143"/>
      <c r="D524" s="141"/>
      <c r="E524" s="141"/>
      <c r="F524" s="42"/>
      <c r="G524" s="42"/>
      <c r="H524" s="142"/>
      <c r="I524" s="17"/>
      <c r="J524" s="15"/>
      <c r="K524" s="213"/>
      <c r="L524" s="213"/>
      <c r="M524" s="213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1.25" customHeight="1" x14ac:dyDescent="0.25">
      <c r="A525" s="15"/>
      <c r="B525" s="15"/>
      <c r="C525" s="15"/>
      <c r="D525" s="141"/>
      <c r="E525" s="141"/>
      <c r="F525" s="205"/>
      <c r="G525" s="17"/>
      <c r="H525" s="42"/>
      <c r="I525" s="17"/>
      <c r="J525" s="15"/>
      <c r="K525" s="213"/>
      <c r="L525" s="213"/>
      <c r="M525" s="213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1.25" customHeight="1" x14ac:dyDescent="0.25">
      <c r="A526" s="15"/>
      <c r="B526" s="15"/>
      <c r="C526" s="15"/>
      <c r="D526" s="15"/>
      <c r="E526" s="15"/>
      <c r="F526" s="17"/>
      <c r="G526" s="17"/>
      <c r="H526" s="17"/>
      <c r="I526" s="17"/>
      <c r="J526" s="15"/>
      <c r="K526" s="213"/>
      <c r="L526" s="213"/>
      <c r="M526" s="213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1.25" customHeight="1" x14ac:dyDescent="0.25">
      <c r="A527" s="15"/>
      <c r="B527" s="15"/>
      <c r="C527" s="15"/>
      <c r="D527" s="15"/>
      <c r="E527" s="15"/>
      <c r="F527" s="17"/>
      <c r="G527" s="17"/>
      <c r="H527" s="17"/>
      <c r="I527" s="17"/>
      <c r="J527" s="15"/>
      <c r="K527" s="213"/>
      <c r="L527" s="213"/>
      <c r="M527" s="213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1.25" customHeight="1" x14ac:dyDescent="0.25">
      <c r="A528" s="15"/>
      <c r="B528" s="153"/>
      <c r="C528" s="153"/>
      <c r="D528" s="153"/>
      <c r="E528" s="153"/>
      <c r="F528" s="154"/>
      <c r="G528" s="154"/>
      <c r="H528" s="154"/>
      <c r="I528" s="17"/>
      <c r="J528" s="15"/>
      <c r="K528" s="213"/>
      <c r="L528" s="213"/>
      <c r="M528" s="213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1.25" customHeight="1" x14ac:dyDescent="0.25">
      <c r="A529" s="15"/>
      <c r="B529" s="15"/>
      <c r="C529" s="141"/>
      <c r="D529" s="142"/>
      <c r="E529" s="142"/>
      <c r="F529" s="142"/>
      <c r="G529" s="142"/>
      <c r="H529" s="17"/>
      <c r="I529" s="17"/>
      <c r="J529" s="15"/>
      <c r="K529" s="213"/>
      <c r="L529" s="213"/>
      <c r="M529" s="213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1.25" customHeight="1" x14ac:dyDescent="0.25">
      <c r="A530" s="15"/>
      <c r="B530" s="15"/>
      <c r="C530" s="141"/>
      <c r="D530" s="142"/>
      <c r="E530" s="142"/>
      <c r="F530" s="142"/>
      <c r="G530" s="142"/>
      <c r="H530" s="17"/>
      <c r="I530" s="17"/>
      <c r="J530" s="15"/>
      <c r="K530" s="213"/>
      <c r="L530" s="213"/>
      <c r="M530" s="213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1.25" customHeight="1" x14ac:dyDescent="0.25">
      <c r="A531" s="15"/>
      <c r="B531" s="15"/>
      <c r="C531" s="141"/>
      <c r="D531" s="142"/>
      <c r="E531" s="142"/>
      <c r="F531" s="142"/>
      <c r="G531" s="142"/>
      <c r="H531" s="42"/>
      <c r="I531" s="17"/>
      <c r="J531" s="15"/>
      <c r="K531" s="213"/>
      <c r="L531" s="213"/>
      <c r="M531" s="213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1.25" customHeight="1" x14ac:dyDescent="0.25">
      <c r="A532" s="15"/>
      <c r="B532" s="44"/>
      <c r="C532" s="143"/>
      <c r="D532" s="143"/>
      <c r="E532" s="143"/>
      <c r="F532" s="42"/>
      <c r="G532" s="42"/>
      <c r="H532" s="17"/>
      <c r="I532" s="17"/>
      <c r="J532" s="15"/>
      <c r="K532" s="213"/>
      <c r="L532" s="213"/>
      <c r="M532" s="213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1.25" customHeight="1" x14ac:dyDescent="0.25">
      <c r="A533" s="15"/>
      <c r="B533" s="15"/>
      <c r="C533" s="15"/>
      <c r="D533" s="15"/>
      <c r="E533" s="15"/>
      <c r="F533" s="205"/>
      <c r="G533" s="17"/>
      <c r="H533" s="42"/>
      <c r="I533" s="17"/>
      <c r="J533" s="15"/>
      <c r="K533" s="213"/>
      <c r="L533" s="213"/>
      <c r="M533" s="213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1.25" customHeight="1" x14ac:dyDescent="0.25">
      <c r="A534" s="15"/>
      <c r="B534" s="15"/>
      <c r="C534" s="15"/>
      <c r="D534" s="15"/>
      <c r="E534" s="15"/>
      <c r="F534" s="17"/>
      <c r="G534" s="17"/>
      <c r="H534" s="17"/>
      <c r="I534" s="17"/>
      <c r="J534" s="15"/>
      <c r="K534" s="213"/>
      <c r="L534" s="213"/>
      <c r="M534" s="213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1.25" customHeight="1" x14ac:dyDescent="0.25">
      <c r="A535" s="15"/>
      <c r="B535" s="15"/>
      <c r="C535" s="215"/>
      <c r="D535" s="15"/>
      <c r="E535" s="15"/>
      <c r="F535" s="17"/>
      <c r="G535" s="17"/>
      <c r="H535" s="17"/>
      <c r="I535" s="17"/>
      <c r="J535" s="15"/>
      <c r="K535" s="213"/>
      <c r="L535" s="213"/>
      <c r="M535" s="213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1.25" customHeight="1" x14ac:dyDescent="0.25">
      <c r="A536" s="15"/>
      <c r="B536" s="15"/>
      <c r="C536" s="215"/>
      <c r="D536" s="15"/>
      <c r="E536" s="15"/>
      <c r="F536" s="17"/>
      <c r="G536" s="17"/>
      <c r="H536" s="17"/>
      <c r="I536" s="17"/>
      <c r="J536" s="15"/>
      <c r="K536" s="213"/>
      <c r="L536" s="213"/>
      <c r="M536" s="213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1.25" customHeight="1" x14ac:dyDescent="0.25">
      <c r="A537" s="15"/>
      <c r="B537" s="44"/>
      <c r="C537" s="215"/>
      <c r="D537" s="15"/>
      <c r="E537" s="15"/>
      <c r="F537" s="17"/>
      <c r="G537" s="17"/>
      <c r="H537" s="17"/>
      <c r="I537" s="17"/>
      <c r="J537" s="15"/>
      <c r="K537" s="213"/>
      <c r="L537" s="213"/>
      <c r="M537" s="213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1.25" customHeight="1" x14ac:dyDescent="0.25">
      <c r="A538" s="15"/>
      <c r="B538" s="15"/>
      <c r="C538" s="215"/>
      <c r="D538" s="15"/>
      <c r="E538" s="15"/>
      <c r="F538" s="17"/>
      <c r="G538" s="17"/>
      <c r="H538" s="17"/>
      <c r="I538" s="17"/>
      <c r="J538" s="15"/>
      <c r="K538" s="213"/>
      <c r="L538" s="213"/>
      <c r="M538" s="213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1.25" customHeight="1" x14ac:dyDescent="0.25">
      <c r="A539" s="15"/>
      <c r="B539" s="153"/>
      <c r="C539" s="153"/>
      <c r="D539" s="153"/>
      <c r="E539" s="153"/>
      <c r="F539" s="154"/>
      <c r="G539" s="154"/>
      <c r="H539" s="154"/>
      <c r="I539" s="17"/>
      <c r="J539" s="15"/>
      <c r="K539" s="213"/>
      <c r="L539" s="213"/>
      <c r="M539" s="213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1.25" customHeight="1" x14ac:dyDescent="0.25">
      <c r="A540" s="15"/>
      <c r="B540" s="15"/>
      <c r="C540" s="141"/>
      <c r="D540" s="100"/>
      <c r="E540" s="100"/>
      <c r="F540" s="216"/>
      <c r="G540" s="142"/>
      <c r="H540" s="17"/>
      <c r="I540" s="17"/>
      <c r="J540" s="15"/>
      <c r="K540" s="213"/>
      <c r="L540" s="213"/>
      <c r="M540" s="213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1.25" customHeight="1" x14ac:dyDescent="0.25">
      <c r="A541" s="15"/>
      <c r="B541" s="15"/>
      <c r="C541" s="141"/>
      <c r="D541" s="158"/>
      <c r="E541" s="158"/>
      <c r="F541" s="216"/>
      <c r="G541" s="142"/>
      <c r="H541" s="17"/>
      <c r="I541" s="17"/>
      <c r="J541" s="15"/>
      <c r="K541" s="213"/>
      <c r="L541" s="213"/>
      <c r="M541" s="213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1.25" customHeight="1" x14ac:dyDescent="0.25">
      <c r="A542" s="15"/>
      <c r="B542" s="15"/>
      <c r="C542" s="141"/>
      <c r="D542" s="100"/>
      <c r="E542" s="100"/>
      <c r="F542" s="142"/>
      <c r="G542" s="142"/>
      <c r="H542" s="17"/>
      <c r="I542" s="17"/>
      <c r="J542" s="15"/>
      <c r="K542" s="213"/>
      <c r="L542" s="213"/>
      <c r="M542" s="213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1.25" customHeight="1" x14ac:dyDescent="0.25">
      <c r="A543" s="15"/>
      <c r="B543" s="15"/>
      <c r="C543" s="141"/>
      <c r="D543" s="158"/>
      <c r="E543" s="158"/>
      <c r="F543" s="216"/>
      <c r="G543" s="142"/>
      <c r="H543" s="17"/>
      <c r="I543" s="17"/>
      <c r="J543" s="15"/>
      <c r="K543" s="213"/>
      <c r="L543" s="213"/>
      <c r="M543" s="213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1.25" customHeight="1" x14ac:dyDescent="0.25">
      <c r="A544" s="15"/>
      <c r="B544" s="15"/>
      <c r="C544" s="141"/>
      <c r="D544" s="100"/>
      <c r="E544" s="100"/>
      <c r="F544" s="142"/>
      <c r="G544" s="142"/>
      <c r="H544" s="17"/>
      <c r="I544" s="17"/>
      <c r="J544" s="15"/>
      <c r="K544" s="213"/>
      <c r="L544" s="213"/>
      <c r="M544" s="213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1.25" customHeight="1" x14ac:dyDescent="0.25">
      <c r="A545" s="15"/>
      <c r="B545" s="15"/>
      <c r="C545" s="141"/>
      <c r="D545" s="158"/>
      <c r="E545" s="158"/>
      <c r="F545" s="216"/>
      <c r="G545" s="142"/>
      <c r="H545" s="17"/>
      <c r="I545" s="17"/>
      <c r="J545" s="15"/>
      <c r="K545" s="213"/>
      <c r="L545" s="213"/>
      <c r="M545" s="213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1.25" customHeight="1" x14ac:dyDescent="0.25">
      <c r="A546" s="15"/>
      <c r="B546" s="15"/>
      <c r="C546" s="141"/>
      <c r="D546" s="100"/>
      <c r="E546" s="100"/>
      <c r="F546" s="142"/>
      <c r="G546" s="142"/>
      <c r="H546" s="17"/>
      <c r="I546" s="17"/>
      <c r="J546" s="15"/>
      <c r="K546" s="213"/>
      <c r="L546" s="213"/>
      <c r="M546" s="213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1.25" customHeight="1" x14ac:dyDescent="0.25">
      <c r="A547" s="15"/>
      <c r="B547" s="15"/>
      <c r="C547" s="141"/>
      <c r="D547" s="158"/>
      <c r="E547" s="158"/>
      <c r="F547" s="216"/>
      <c r="G547" s="142"/>
      <c r="H547" s="17"/>
      <c r="I547" s="17"/>
      <c r="J547" s="15"/>
      <c r="K547" s="213"/>
      <c r="L547" s="213"/>
      <c r="M547" s="213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1.25" customHeight="1" x14ac:dyDescent="0.25">
      <c r="A548" s="15"/>
      <c r="B548" s="15"/>
      <c r="C548" s="141"/>
      <c r="D548" s="100"/>
      <c r="E548" s="100"/>
      <c r="F548" s="142"/>
      <c r="G548" s="142"/>
      <c r="H548" s="17"/>
      <c r="I548" s="17"/>
      <c r="J548" s="15"/>
      <c r="K548" s="213"/>
      <c r="L548" s="213"/>
      <c r="M548" s="213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1.25" customHeight="1" x14ac:dyDescent="0.25">
      <c r="A549" s="15"/>
      <c r="B549" s="15"/>
      <c r="C549" s="141"/>
      <c r="D549" s="158"/>
      <c r="E549" s="158"/>
      <c r="F549" s="216"/>
      <c r="G549" s="142"/>
      <c r="H549" s="17"/>
      <c r="I549" s="17"/>
      <c r="J549" s="15"/>
      <c r="K549" s="213"/>
      <c r="L549" s="213"/>
      <c r="M549" s="213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1.25" customHeight="1" x14ac:dyDescent="0.25">
      <c r="A550" s="15"/>
      <c r="B550" s="44"/>
      <c r="C550" s="143"/>
      <c r="D550" s="217"/>
      <c r="E550" s="217"/>
      <c r="F550" s="218"/>
      <c r="G550" s="142"/>
      <c r="H550" s="17"/>
      <c r="I550" s="17"/>
      <c r="J550" s="15"/>
      <c r="K550" s="213"/>
      <c r="L550" s="213"/>
      <c r="M550" s="213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1.25" customHeight="1" x14ac:dyDescent="0.25">
      <c r="A551" s="15"/>
      <c r="B551" s="15"/>
      <c r="C551" s="15"/>
      <c r="D551" s="15"/>
      <c r="E551" s="15"/>
      <c r="F551" s="17"/>
      <c r="G551" s="17"/>
      <c r="H551" s="42"/>
      <c r="I551" s="17"/>
      <c r="J551" s="15"/>
      <c r="K551" s="213"/>
      <c r="L551" s="213"/>
      <c r="M551" s="213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1.25" customHeight="1" x14ac:dyDescent="0.25">
      <c r="A552" s="15"/>
      <c r="B552" s="15"/>
      <c r="C552" s="15"/>
      <c r="D552" s="15"/>
      <c r="E552" s="15"/>
      <c r="F552" s="17"/>
      <c r="G552" s="17"/>
      <c r="H552" s="17"/>
      <c r="I552" s="17"/>
      <c r="J552" s="15"/>
      <c r="K552" s="213"/>
      <c r="L552" s="213"/>
      <c r="M552" s="213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1.25" customHeight="1" x14ac:dyDescent="0.25">
      <c r="A553" s="15"/>
      <c r="B553" s="15"/>
      <c r="C553" s="15"/>
      <c r="D553" s="15"/>
      <c r="E553" s="15"/>
      <c r="F553" s="17"/>
      <c r="G553" s="17"/>
      <c r="H553" s="17"/>
      <c r="I553" s="17"/>
      <c r="J553" s="15"/>
      <c r="K553" s="213"/>
      <c r="L553" s="213"/>
      <c r="M553" s="213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1.25" customHeight="1" x14ac:dyDescent="0.25">
      <c r="A554" s="15"/>
      <c r="B554" s="153"/>
      <c r="C554" s="153"/>
      <c r="D554" s="153"/>
      <c r="E554" s="153"/>
      <c r="F554" s="154"/>
      <c r="G554" s="154"/>
      <c r="H554" s="154"/>
      <c r="I554" s="17"/>
      <c r="J554" s="15"/>
      <c r="K554" s="213"/>
      <c r="L554" s="213"/>
      <c r="M554" s="213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1.25" customHeight="1" x14ac:dyDescent="0.25">
      <c r="A555" s="15"/>
      <c r="B555" s="15"/>
      <c r="C555" s="141"/>
      <c r="D555" s="158"/>
      <c r="E555" s="158"/>
      <c r="F555" s="142"/>
      <c r="G555" s="142"/>
      <c r="H555" s="17"/>
      <c r="I555" s="17"/>
      <c r="J555" s="15"/>
      <c r="K555" s="213"/>
      <c r="L555" s="213"/>
      <c r="M555" s="213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1.25" customHeight="1" x14ac:dyDescent="0.25">
      <c r="A556" s="15"/>
      <c r="B556" s="15"/>
      <c r="C556" s="15"/>
      <c r="D556" s="15"/>
      <c r="E556" s="15"/>
      <c r="F556" s="17"/>
      <c r="G556" s="17"/>
      <c r="H556" s="42"/>
      <c r="I556" s="17"/>
      <c r="J556" s="15"/>
      <c r="K556" s="213"/>
      <c r="L556" s="213"/>
      <c r="M556" s="213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1.25" customHeight="1" x14ac:dyDescent="0.25">
      <c r="A557" s="15"/>
      <c r="B557" s="15"/>
      <c r="C557" s="15"/>
      <c r="D557" s="15"/>
      <c r="E557" s="15"/>
      <c r="F557" s="17"/>
      <c r="G557" s="17"/>
      <c r="H557" s="17"/>
      <c r="I557" s="17"/>
      <c r="J557" s="15"/>
      <c r="K557" s="213"/>
      <c r="L557" s="213"/>
      <c r="M557" s="213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1.25" customHeight="1" x14ac:dyDescent="0.25">
      <c r="A558" s="15"/>
      <c r="B558" s="15"/>
      <c r="C558" s="15"/>
      <c r="D558" s="15"/>
      <c r="E558" s="15"/>
      <c r="F558" s="17"/>
      <c r="G558" s="17"/>
      <c r="H558" s="17"/>
      <c r="I558" s="17"/>
      <c r="J558" s="15"/>
      <c r="K558" s="213"/>
      <c r="L558" s="213"/>
      <c r="M558" s="213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1.25" customHeight="1" x14ac:dyDescent="0.25">
      <c r="A559" s="15"/>
      <c r="B559" s="153"/>
      <c r="C559" s="153"/>
      <c r="D559" s="153"/>
      <c r="E559" s="153"/>
      <c r="F559" s="154"/>
      <c r="G559" s="154"/>
      <c r="H559" s="154"/>
      <c r="I559" s="17"/>
      <c r="J559" s="15"/>
      <c r="K559" s="213"/>
      <c r="L559" s="213"/>
      <c r="M559" s="213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1.25" customHeight="1" x14ac:dyDescent="0.25">
      <c r="A560" s="15"/>
      <c r="B560" s="15"/>
      <c r="C560" s="141"/>
      <c r="D560" s="141"/>
      <c r="E560" s="141"/>
      <c r="F560" s="142"/>
      <c r="G560" s="142"/>
      <c r="H560" s="17"/>
      <c r="I560" s="17"/>
      <c r="J560" s="15"/>
      <c r="K560" s="213"/>
      <c r="L560" s="213"/>
      <c r="M560" s="213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1.25" customHeight="1" x14ac:dyDescent="0.25">
      <c r="A561" s="15"/>
      <c r="B561" s="15"/>
      <c r="C561" s="141"/>
      <c r="D561" s="141"/>
      <c r="E561" s="141"/>
      <c r="F561" s="142"/>
      <c r="G561" s="142"/>
      <c r="H561" s="17"/>
      <c r="I561" s="17"/>
      <c r="J561" s="15"/>
      <c r="K561" s="213"/>
      <c r="L561" s="213"/>
      <c r="M561" s="213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1.25" customHeight="1" x14ac:dyDescent="0.25">
      <c r="A562" s="15"/>
      <c r="B562" s="15"/>
      <c r="C562" s="141"/>
      <c r="D562" s="142"/>
      <c r="E562" s="142"/>
      <c r="F562" s="142"/>
      <c r="G562" s="142"/>
      <c r="H562" s="17"/>
      <c r="I562" s="17"/>
      <c r="J562" s="15"/>
      <c r="K562" s="213"/>
      <c r="L562" s="213"/>
      <c r="M562" s="213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1.25" customHeight="1" x14ac:dyDescent="0.25">
      <c r="A563" s="15"/>
      <c r="B563" s="15"/>
      <c r="C563" s="141"/>
      <c r="D563" s="219"/>
      <c r="E563" s="219"/>
      <c r="F563" s="142"/>
      <c r="G563" s="142"/>
      <c r="H563" s="17"/>
      <c r="I563" s="17"/>
      <c r="J563" s="15"/>
      <c r="K563" s="213"/>
      <c r="L563" s="213"/>
      <c r="M563" s="213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1.25" customHeight="1" x14ac:dyDescent="0.25">
      <c r="A564" s="15"/>
      <c r="B564" s="15"/>
      <c r="C564" s="141"/>
      <c r="D564" s="158"/>
      <c r="E564" s="158"/>
      <c r="F564" s="142"/>
      <c r="G564" s="142"/>
      <c r="H564" s="17"/>
      <c r="I564" s="17"/>
      <c r="J564" s="15"/>
      <c r="K564" s="213"/>
      <c r="L564" s="213"/>
      <c r="M564" s="213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1.25" customHeight="1" x14ac:dyDescent="0.25">
      <c r="A565" s="15"/>
      <c r="B565" s="15"/>
      <c r="C565" s="15"/>
      <c r="D565" s="15"/>
      <c r="E565" s="15"/>
      <c r="F565" s="17"/>
      <c r="G565" s="17"/>
      <c r="H565" s="42"/>
      <c r="I565" s="17"/>
      <c r="J565" s="15"/>
      <c r="K565" s="213"/>
      <c r="L565" s="213"/>
      <c r="M565" s="213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1.25" customHeight="1" x14ac:dyDescent="0.25">
      <c r="A566" s="15"/>
      <c r="B566" s="15"/>
      <c r="C566" s="15"/>
      <c r="D566" s="15"/>
      <c r="E566" s="15"/>
      <c r="F566" s="17"/>
      <c r="G566" s="17"/>
      <c r="H566" s="17"/>
      <c r="I566" s="17"/>
      <c r="J566" s="15"/>
      <c r="K566" s="213"/>
      <c r="L566" s="213"/>
      <c r="M566" s="213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1.25" customHeight="1" x14ac:dyDescent="0.25">
      <c r="A567" s="15"/>
      <c r="B567" s="44"/>
      <c r="C567" s="15"/>
      <c r="D567" s="15"/>
      <c r="E567" s="15"/>
      <c r="F567" s="17"/>
      <c r="G567" s="17"/>
      <c r="H567" s="17"/>
      <c r="I567" s="17"/>
      <c r="J567" s="15"/>
      <c r="K567" s="213"/>
      <c r="L567" s="213"/>
      <c r="M567" s="213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1.25" customHeight="1" x14ac:dyDescent="0.25">
      <c r="A568" s="15"/>
      <c r="B568" s="15"/>
      <c r="C568" s="15"/>
      <c r="D568" s="15"/>
      <c r="E568" s="15"/>
      <c r="F568" s="17"/>
      <c r="G568" s="17"/>
      <c r="H568" s="17"/>
      <c r="I568" s="17"/>
      <c r="J568" s="15"/>
      <c r="K568" s="213"/>
      <c r="L568" s="213"/>
      <c r="M568" s="213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1.25" customHeight="1" x14ac:dyDescent="0.25">
      <c r="A569" s="15"/>
      <c r="B569" s="153"/>
      <c r="C569" s="153"/>
      <c r="D569" s="153"/>
      <c r="E569" s="153"/>
      <c r="F569" s="154"/>
      <c r="G569" s="154"/>
      <c r="H569" s="154"/>
      <c r="I569" s="17"/>
      <c r="J569" s="15"/>
      <c r="K569" s="213"/>
      <c r="L569" s="213"/>
      <c r="M569" s="213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32.25" customHeight="1" x14ac:dyDescent="0.25">
      <c r="A570" s="15"/>
      <c r="B570" s="221"/>
      <c r="C570" s="141"/>
      <c r="D570" s="142"/>
      <c r="E570" s="142"/>
      <c r="F570" s="142"/>
      <c r="G570" s="142"/>
      <c r="H570" s="42"/>
      <c r="I570" s="17"/>
      <c r="J570" s="15"/>
      <c r="K570" s="213"/>
      <c r="L570" s="213"/>
      <c r="M570" s="213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1.25" customHeight="1" x14ac:dyDescent="0.25">
      <c r="A571" s="15"/>
      <c r="B571" s="15"/>
      <c r="C571" s="215"/>
      <c r="D571" s="15"/>
      <c r="E571" s="15"/>
      <c r="F571" s="205"/>
      <c r="G571" s="17"/>
      <c r="H571" s="42"/>
      <c r="I571" s="17"/>
      <c r="J571" s="15"/>
      <c r="K571" s="213"/>
      <c r="L571" s="213"/>
      <c r="M571" s="213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1.25" customHeight="1" x14ac:dyDescent="0.25">
      <c r="A572" s="15"/>
      <c r="B572" s="15"/>
      <c r="C572" s="15"/>
      <c r="D572" s="15"/>
      <c r="E572" s="15"/>
      <c r="F572" s="17"/>
      <c r="G572" s="17"/>
      <c r="H572" s="17"/>
      <c r="I572" s="17"/>
      <c r="J572" s="15"/>
      <c r="K572" s="213"/>
      <c r="L572" s="213"/>
      <c r="M572" s="213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1.25" customHeight="1" x14ac:dyDescent="0.25">
      <c r="A573" s="15"/>
      <c r="B573" s="15"/>
      <c r="C573" s="15"/>
      <c r="D573" s="15"/>
      <c r="E573" s="15"/>
      <c r="F573" s="17"/>
      <c r="G573" s="17"/>
      <c r="H573" s="17"/>
      <c r="I573" s="17"/>
      <c r="J573" s="15"/>
      <c r="K573" s="213"/>
      <c r="L573" s="213"/>
      <c r="M573" s="213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1.25" customHeight="1" x14ac:dyDescent="0.25">
      <c r="A574" s="15"/>
      <c r="B574" s="44"/>
      <c r="C574" s="215"/>
      <c r="D574" s="15"/>
      <c r="E574" s="15"/>
      <c r="F574" s="17"/>
      <c r="G574" s="17"/>
      <c r="H574" s="17"/>
      <c r="I574" s="17"/>
      <c r="J574" s="15"/>
      <c r="K574" s="213"/>
      <c r="L574" s="213"/>
      <c r="M574" s="213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1.25" customHeight="1" x14ac:dyDescent="0.25">
      <c r="A575" s="15"/>
      <c r="B575" s="15"/>
      <c r="C575" s="215"/>
      <c r="D575" s="15"/>
      <c r="E575" s="15"/>
      <c r="F575" s="17"/>
      <c r="G575" s="17"/>
      <c r="H575" s="17"/>
      <c r="I575" s="17"/>
      <c r="J575" s="15"/>
      <c r="K575" s="213"/>
      <c r="L575" s="213"/>
      <c r="M575" s="213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1.25" customHeight="1" x14ac:dyDescent="0.25">
      <c r="A576" s="15"/>
      <c r="B576" s="15"/>
      <c r="C576" s="222"/>
      <c r="D576" s="15"/>
      <c r="E576" s="15"/>
      <c r="F576" s="17"/>
      <c r="G576" s="17"/>
      <c r="H576" s="17"/>
      <c r="I576" s="17"/>
      <c r="J576" s="15"/>
      <c r="K576" s="213"/>
      <c r="L576" s="213"/>
      <c r="M576" s="213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1.25" customHeight="1" x14ac:dyDescent="0.25">
      <c r="A577" s="15"/>
      <c r="B577" s="15"/>
      <c r="C577" s="215"/>
      <c r="D577" s="15"/>
      <c r="E577" s="15"/>
      <c r="F577" s="17"/>
      <c r="G577" s="17"/>
      <c r="H577" s="17"/>
      <c r="I577" s="17"/>
      <c r="J577" s="15"/>
      <c r="K577" s="213"/>
      <c r="L577" s="213"/>
      <c r="M577" s="213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1.25" customHeight="1" x14ac:dyDescent="0.25">
      <c r="A578" s="15"/>
      <c r="B578" s="153"/>
      <c r="C578" s="153"/>
      <c r="D578" s="153"/>
      <c r="E578" s="153"/>
      <c r="F578" s="154"/>
      <c r="G578" s="154"/>
      <c r="H578" s="154"/>
      <c r="I578" s="17"/>
      <c r="J578" s="15"/>
      <c r="K578" s="213"/>
      <c r="L578" s="213"/>
      <c r="M578" s="213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1.25" customHeight="1" x14ac:dyDescent="0.25">
      <c r="A579" s="15"/>
      <c r="B579" s="15"/>
      <c r="C579" s="141"/>
      <c r="D579" s="223"/>
      <c r="E579" s="223"/>
      <c r="F579" s="223"/>
      <c r="G579" s="142"/>
      <c r="H579" s="17"/>
      <c r="I579" s="17"/>
      <c r="J579" s="15"/>
      <c r="K579" s="213"/>
      <c r="L579" s="213"/>
      <c r="M579" s="213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1.25" customHeight="1" x14ac:dyDescent="0.25">
      <c r="A580" s="15"/>
      <c r="B580" s="15"/>
      <c r="C580" s="215"/>
      <c r="D580" s="15"/>
      <c r="E580" s="15"/>
      <c r="F580" s="17"/>
      <c r="G580" s="17"/>
      <c r="H580" s="42"/>
      <c r="I580" s="17"/>
      <c r="J580" s="15"/>
      <c r="K580" s="213"/>
      <c r="L580" s="213"/>
      <c r="M580" s="213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1.25" customHeight="1" x14ac:dyDescent="0.25">
      <c r="A581" s="15"/>
      <c r="B581" s="15"/>
      <c r="C581" s="15"/>
      <c r="D581" s="15"/>
      <c r="E581" s="15"/>
      <c r="F581" s="17"/>
      <c r="G581" s="17"/>
      <c r="H581" s="17"/>
      <c r="I581" s="17"/>
      <c r="J581" s="15"/>
      <c r="K581" s="213"/>
      <c r="L581" s="213"/>
      <c r="M581" s="213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1.25" customHeight="1" x14ac:dyDescent="0.25">
      <c r="A582" s="15"/>
      <c r="B582" s="44"/>
      <c r="C582" s="215"/>
      <c r="D582" s="15"/>
      <c r="E582" s="15"/>
      <c r="F582" s="17"/>
      <c r="G582" s="17"/>
      <c r="H582" s="17"/>
      <c r="I582" s="17"/>
      <c r="J582" s="15"/>
      <c r="K582" s="213"/>
      <c r="L582" s="213"/>
      <c r="M582" s="213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1.25" customHeight="1" x14ac:dyDescent="0.25">
      <c r="A583" s="15"/>
      <c r="B583" s="15"/>
      <c r="C583" s="215"/>
      <c r="D583" s="15"/>
      <c r="E583" s="15"/>
      <c r="F583" s="17"/>
      <c r="G583" s="17"/>
      <c r="H583" s="17"/>
      <c r="I583" s="17"/>
      <c r="J583" s="15"/>
      <c r="K583" s="213"/>
      <c r="L583" s="213"/>
      <c r="M583" s="213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1.25" customHeight="1" x14ac:dyDescent="0.25">
      <c r="A584" s="15"/>
      <c r="B584" s="15"/>
      <c r="C584" s="222"/>
      <c r="D584" s="15"/>
      <c r="E584" s="15"/>
      <c r="F584" s="17"/>
      <c r="G584" s="17"/>
      <c r="H584" s="17"/>
      <c r="I584" s="17"/>
      <c r="J584" s="15"/>
      <c r="K584" s="213"/>
      <c r="L584" s="213"/>
      <c r="M584" s="213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1.25" customHeight="1" x14ac:dyDescent="0.25">
      <c r="A585" s="15"/>
      <c r="B585" s="15"/>
      <c r="C585" s="215"/>
      <c r="D585" s="15"/>
      <c r="E585" s="15"/>
      <c r="F585" s="17"/>
      <c r="G585" s="17"/>
      <c r="H585" s="17"/>
      <c r="I585" s="17"/>
      <c r="J585" s="15"/>
      <c r="K585" s="213"/>
      <c r="L585" s="213"/>
      <c r="M585" s="213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1.25" customHeight="1" x14ac:dyDescent="0.25">
      <c r="A586" s="15"/>
      <c r="B586" s="153"/>
      <c r="C586" s="153"/>
      <c r="D586" s="153"/>
      <c r="E586" s="153"/>
      <c r="F586" s="154"/>
      <c r="G586" s="154"/>
      <c r="H586" s="154"/>
      <c r="I586" s="17"/>
      <c r="J586" s="15"/>
      <c r="K586" s="213"/>
      <c r="L586" s="213"/>
      <c r="M586" s="213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1.25" customHeight="1" x14ac:dyDescent="0.25">
      <c r="A587" s="15"/>
      <c r="B587" s="15"/>
      <c r="C587" s="141"/>
      <c r="D587" s="223"/>
      <c r="E587" s="223"/>
      <c r="F587" s="223"/>
      <c r="G587" s="142"/>
      <c r="H587" s="17"/>
      <c r="I587" s="17"/>
      <c r="J587" s="15"/>
      <c r="K587" s="213"/>
      <c r="L587" s="213"/>
      <c r="M587" s="213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1.25" customHeight="1" x14ac:dyDescent="0.25">
      <c r="A588" s="15"/>
      <c r="B588" s="15"/>
      <c r="C588" s="215"/>
      <c r="D588" s="15"/>
      <c r="E588" s="15"/>
      <c r="F588" s="17"/>
      <c r="G588" s="17"/>
      <c r="H588" s="42"/>
      <c r="I588" s="17"/>
      <c r="J588" s="15"/>
      <c r="K588" s="213"/>
      <c r="L588" s="213"/>
      <c r="M588" s="213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1.25" customHeight="1" x14ac:dyDescent="0.25">
      <c r="A589" s="15"/>
      <c r="B589" s="15"/>
      <c r="C589" s="15"/>
      <c r="D589" s="15"/>
      <c r="E589" s="15"/>
      <c r="F589" s="17"/>
      <c r="G589" s="17"/>
      <c r="H589" s="17"/>
      <c r="I589" s="17"/>
      <c r="J589" s="15"/>
      <c r="K589" s="213"/>
      <c r="L589" s="213"/>
      <c r="M589" s="213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1.25" customHeight="1" x14ac:dyDescent="0.25">
      <c r="A590" s="15"/>
      <c r="B590" s="15"/>
      <c r="C590" s="15"/>
      <c r="D590" s="15"/>
      <c r="E590" s="15"/>
      <c r="F590" s="17"/>
      <c r="G590" s="17"/>
      <c r="H590" s="17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2.75" customHeight="1" x14ac:dyDescent="0.25">
      <c r="A591" s="15"/>
      <c r="B591" s="44"/>
      <c r="C591" s="44"/>
      <c r="D591" s="44"/>
      <c r="E591" s="44"/>
      <c r="F591" s="43"/>
      <c r="G591" s="43"/>
      <c r="H591" s="42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1.25" customHeight="1" x14ac:dyDescent="0.25">
      <c r="A592" s="15"/>
      <c r="B592" s="15"/>
      <c r="C592" s="15"/>
      <c r="D592" s="15"/>
      <c r="E592" s="15"/>
      <c r="F592" s="17"/>
      <c r="G592" s="17"/>
      <c r="H592" s="17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2.75" customHeight="1" x14ac:dyDescent="0.25">
      <c r="A593" s="15"/>
      <c r="B593" s="44"/>
      <c r="C593" s="44"/>
      <c r="D593" s="44"/>
      <c r="E593" s="44"/>
      <c r="F593" s="43"/>
      <c r="G593" s="43"/>
      <c r="H593" s="42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1.25" customHeight="1" x14ac:dyDescent="0.25">
      <c r="A594" s="15"/>
      <c r="B594" s="15"/>
      <c r="C594" s="15"/>
      <c r="D594" s="15"/>
      <c r="E594" s="15"/>
      <c r="F594" s="17"/>
      <c r="G594" s="17"/>
      <c r="H594" s="17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2.75" customHeight="1" x14ac:dyDescent="0.25">
      <c r="A595" s="15"/>
      <c r="B595" s="153"/>
      <c r="C595" s="153"/>
      <c r="D595" s="153"/>
      <c r="E595" s="153"/>
      <c r="F595" s="154"/>
      <c r="G595" s="154"/>
      <c r="H595" s="154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2.75" customHeight="1" x14ac:dyDescent="0.25">
      <c r="A596" s="15"/>
      <c r="B596" s="15"/>
      <c r="C596" s="141"/>
      <c r="D596" s="176"/>
      <c r="E596" s="176"/>
      <c r="F596" s="142"/>
      <c r="G596" s="142"/>
      <c r="H596" s="142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2.75" customHeight="1" x14ac:dyDescent="0.25">
      <c r="A597" s="15"/>
      <c r="B597" s="15"/>
      <c r="C597" s="141"/>
      <c r="D597" s="176"/>
      <c r="E597" s="176"/>
      <c r="F597" s="142"/>
      <c r="G597" s="142"/>
      <c r="H597" s="142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2.75" customHeight="1" x14ac:dyDescent="0.25">
      <c r="A598" s="15"/>
      <c r="B598" s="15"/>
      <c r="C598" s="141"/>
      <c r="D598" s="176"/>
      <c r="E598" s="176"/>
      <c r="F598" s="142"/>
      <c r="G598" s="142"/>
      <c r="H598" s="142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2.75" customHeight="1" x14ac:dyDescent="0.25">
      <c r="A599" s="15"/>
      <c r="B599" s="15"/>
      <c r="C599" s="141"/>
      <c r="D599" s="176"/>
      <c r="E599" s="176"/>
      <c r="F599" s="142"/>
      <c r="G599" s="142"/>
      <c r="H599" s="142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2.75" customHeight="1" x14ac:dyDescent="0.25">
      <c r="A600" s="15"/>
      <c r="B600" s="110"/>
      <c r="C600" s="141"/>
      <c r="D600" s="176"/>
      <c r="E600" s="176"/>
      <c r="F600" s="142"/>
      <c r="G600" s="142"/>
      <c r="H600" s="142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2.75" customHeight="1" x14ac:dyDescent="0.25">
      <c r="A601" s="15"/>
      <c r="B601" s="15"/>
      <c r="C601" s="141"/>
      <c r="D601" s="176"/>
      <c r="E601" s="176"/>
      <c r="F601" s="142"/>
      <c r="G601" s="142"/>
      <c r="H601" s="142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2.75" customHeight="1" x14ac:dyDescent="0.25">
      <c r="A602" s="15"/>
      <c r="B602" s="110"/>
      <c r="C602" s="141"/>
      <c r="D602" s="176"/>
      <c r="E602" s="176"/>
      <c r="F602" s="142"/>
      <c r="G602" s="142"/>
      <c r="H602" s="142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2.75" customHeight="1" x14ac:dyDescent="0.25">
      <c r="A603" s="15"/>
      <c r="B603" s="15"/>
      <c r="C603" s="141"/>
      <c r="D603" s="176"/>
      <c r="E603" s="176"/>
      <c r="F603" s="142"/>
      <c r="G603" s="142"/>
      <c r="H603" s="142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2.75" customHeight="1" x14ac:dyDescent="0.25">
      <c r="A604" s="15"/>
      <c r="B604" s="44"/>
      <c r="C604" s="44"/>
      <c r="D604" s="44"/>
      <c r="E604" s="44"/>
      <c r="F604" s="44"/>
      <c r="G604" s="43"/>
      <c r="H604" s="42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1.25" customHeight="1" x14ac:dyDescent="0.25">
      <c r="A605" s="15"/>
      <c r="B605" s="15"/>
      <c r="C605" s="15"/>
      <c r="D605" s="15"/>
      <c r="E605" s="15"/>
      <c r="F605" s="17"/>
      <c r="G605" s="17"/>
      <c r="H605" s="17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2.75" customHeight="1" x14ac:dyDescent="0.25">
      <c r="A606" s="15"/>
      <c r="B606" s="44"/>
      <c r="C606" s="44"/>
      <c r="D606" s="44"/>
      <c r="E606" s="44"/>
      <c r="F606" s="43"/>
      <c r="G606" s="43"/>
      <c r="H606" s="42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1.25" customHeight="1" x14ac:dyDescent="0.25">
      <c r="A607" s="15"/>
      <c r="B607" s="15"/>
      <c r="C607" s="15"/>
      <c r="D607" s="15"/>
      <c r="E607" s="15"/>
      <c r="F607" s="17"/>
      <c r="G607" s="17"/>
      <c r="H607" s="17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1.25" customHeight="1" x14ac:dyDescent="0.25">
      <c r="A608" s="15"/>
      <c r="B608" s="44"/>
      <c r="C608" s="44"/>
      <c r="D608" s="44"/>
      <c r="E608" s="44"/>
      <c r="F608" s="43"/>
      <c r="G608" s="43"/>
      <c r="H608" s="42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1.25" customHeight="1" x14ac:dyDescent="0.25">
      <c r="A609" s="15"/>
      <c r="B609" s="15"/>
      <c r="C609" s="15"/>
      <c r="D609" s="15"/>
      <c r="E609" s="15"/>
      <c r="F609" s="17"/>
      <c r="G609" s="17"/>
      <c r="H609" s="17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1.25" customHeight="1" x14ac:dyDescent="0.25">
      <c r="A610" s="15"/>
      <c r="B610" s="153"/>
      <c r="C610" s="153"/>
      <c r="D610" s="153"/>
      <c r="E610" s="153"/>
      <c r="F610" s="154"/>
      <c r="G610" s="154"/>
      <c r="H610" s="154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1.25" customHeight="1" x14ac:dyDescent="0.25">
      <c r="A611" s="15"/>
      <c r="B611" s="15"/>
      <c r="C611" s="224"/>
      <c r="D611" s="225"/>
      <c r="E611" s="225"/>
      <c r="F611" s="142"/>
      <c r="G611" s="142"/>
      <c r="H611" s="142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1.25" customHeight="1" x14ac:dyDescent="0.25">
      <c r="A612" s="15"/>
      <c r="B612" s="15"/>
      <c r="C612" s="224"/>
      <c r="D612" s="226"/>
      <c r="E612" s="226"/>
      <c r="F612" s="227"/>
      <c r="G612" s="227"/>
      <c r="H612" s="142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1.25" customHeight="1" x14ac:dyDescent="0.25">
      <c r="A613" s="15"/>
      <c r="B613" s="15"/>
      <c r="C613" s="141"/>
      <c r="D613" s="120"/>
      <c r="E613" s="120"/>
      <c r="F613" s="142"/>
      <c r="G613" s="142"/>
      <c r="H613" s="142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1.25" customHeight="1" x14ac:dyDescent="0.25">
      <c r="A614" s="15"/>
      <c r="B614" s="15"/>
      <c r="C614" s="224"/>
      <c r="D614" s="141"/>
      <c r="E614" s="141"/>
      <c r="F614" s="227"/>
      <c r="G614" s="227"/>
      <c r="H614" s="142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1.25" customHeight="1" x14ac:dyDescent="0.25">
      <c r="A615" s="15"/>
      <c r="B615" s="152"/>
      <c r="C615" s="152"/>
      <c r="D615" s="152"/>
      <c r="E615" s="152"/>
      <c r="F615" s="205"/>
      <c r="G615" s="17"/>
      <c r="H615" s="42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1.25" customHeight="1" x14ac:dyDescent="0.25">
      <c r="A616" s="15"/>
      <c r="B616" s="15"/>
      <c r="C616" s="15"/>
      <c r="D616" s="15"/>
      <c r="E616" s="15"/>
      <c r="F616" s="17"/>
      <c r="G616" s="17"/>
      <c r="H616" s="17"/>
      <c r="I616" s="17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7.25" customHeight="1" x14ac:dyDescent="0.25">
      <c r="A617" s="15"/>
      <c r="B617" s="44"/>
      <c r="C617" s="15"/>
      <c r="D617" s="15"/>
      <c r="E617" s="15"/>
      <c r="F617" s="17"/>
      <c r="G617" s="17"/>
      <c r="H617" s="43"/>
      <c r="I617" s="17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1.25" customHeight="1" x14ac:dyDescent="0.25">
      <c r="A618" s="15"/>
      <c r="B618" s="15"/>
      <c r="C618" s="15"/>
      <c r="D618" s="15"/>
      <c r="E618" s="15"/>
      <c r="F618" s="17"/>
      <c r="G618" s="17"/>
      <c r="H618" s="17"/>
      <c r="I618" s="17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2.75" customHeight="1" x14ac:dyDescent="0.25">
      <c r="A619" s="15"/>
      <c r="B619" s="44"/>
      <c r="C619" s="15"/>
      <c r="D619" s="15"/>
      <c r="E619" s="15"/>
      <c r="F619" s="17"/>
      <c r="G619" s="17"/>
      <c r="H619" s="17"/>
      <c r="I619" s="17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1.25" customHeight="1" x14ac:dyDescent="0.25">
      <c r="A620" s="15"/>
      <c r="B620" s="15"/>
      <c r="C620" s="15"/>
      <c r="D620" s="15"/>
      <c r="E620" s="15"/>
      <c r="F620" s="17"/>
      <c r="G620" s="17"/>
      <c r="H620" s="17"/>
      <c r="I620" s="17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2.75" customHeight="1" x14ac:dyDescent="0.25">
      <c r="A621" s="15"/>
      <c r="B621" s="153"/>
      <c r="C621" s="153"/>
      <c r="D621" s="153"/>
      <c r="E621" s="153"/>
      <c r="F621" s="154"/>
      <c r="G621" s="154"/>
      <c r="H621" s="154"/>
      <c r="I621" s="17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2.75" customHeight="1" x14ac:dyDescent="0.25">
      <c r="A622" s="15"/>
      <c r="B622" s="15"/>
      <c r="C622" s="141"/>
      <c r="D622" s="142"/>
      <c r="E622" s="142"/>
      <c r="F622" s="142"/>
      <c r="G622" s="142"/>
      <c r="H622" s="17"/>
      <c r="I622" s="17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2.75" customHeight="1" x14ac:dyDescent="0.25">
      <c r="A623" s="15"/>
      <c r="B623" s="15"/>
      <c r="C623" s="15"/>
      <c r="D623" s="15"/>
      <c r="E623" s="15"/>
      <c r="F623" s="17"/>
      <c r="G623" s="17"/>
      <c r="H623" s="42"/>
      <c r="I623" s="17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1.25" customHeight="1" x14ac:dyDescent="0.25">
      <c r="A624" s="15"/>
      <c r="B624" s="15"/>
      <c r="C624" s="15"/>
      <c r="D624" s="15"/>
      <c r="E624" s="15"/>
      <c r="F624" s="17"/>
      <c r="G624" s="17"/>
      <c r="H624" s="17"/>
      <c r="I624" s="17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2.75" customHeight="1" x14ac:dyDescent="0.25">
      <c r="A625" s="15"/>
      <c r="B625" s="44"/>
      <c r="C625" s="15"/>
      <c r="D625" s="15"/>
      <c r="E625" s="15"/>
      <c r="F625" s="17"/>
      <c r="G625" s="17"/>
      <c r="H625" s="43"/>
      <c r="I625" s="17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2.75" customHeight="1" x14ac:dyDescent="0.25">
      <c r="A626" s="15"/>
      <c r="B626" s="44"/>
      <c r="C626" s="44"/>
      <c r="D626" s="44"/>
      <c r="E626" s="44"/>
      <c r="F626" s="43"/>
      <c r="G626" s="43"/>
      <c r="H626" s="42"/>
      <c r="I626" s="17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1.25" customHeight="1" x14ac:dyDescent="0.25">
      <c r="A627" s="15"/>
      <c r="B627" s="15"/>
      <c r="C627" s="15"/>
      <c r="D627" s="15"/>
      <c r="E627" s="15"/>
      <c r="F627" s="17"/>
      <c r="G627" s="17"/>
      <c r="H627" s="17"/>
      <c r="I627" s="17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24.75" customHeight="1" x14ac:dyDescent="0.25">
      <c r="A628" s="15"/>
      <c r="B628" s="44"/>
      <c r="C628" s="15"/>
      <c r="D628" s="15"/>
      <c r="E628" s="15"/>
      <c r="F628" s="17"/>
      <c r="G628" s="17"/>
      <c r="H628" s="43"/>
      <c r="I628" s="17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2" customHeight="1" x14ac:dyDescent="0.25">
      <c r="A629" s="15"/>
      <c r="B629" s="16"/>
      <c r="C629" s="16"/>
      <c r="D629" s="16"/>
      <c r="E629" s="16"/>
      <c r="F629" s="228"/>
      <c r="G629" s="228"/>
      <c r="H629" s="228"/>
      <c r="I629" s="17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2.75" customHeight="1" x14ac:dyDescent="0.25">
      <c r="A630" s="15"/>
      <c r="B630" s="41"/>
      <c r="C630" s="41"/>
      <c r="D630" s="41"/>
      <c r="E630" s="41"/>
      <c r="F630" s="229"/>
      <c r="G630" s="229"/>
      <c r="H630" s="17"/>
      <c r="I630" s="17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5.75" customHeight="1" x14ac:dyDescent="0.25">
      <c r="A631" s="15"/>
      <c r="B631" s="15"/>
      <c r="C631" s="15"/>
      <c r="D631" s="15"/>
      <c r="E631" s="15"/>
      <c r="F631" s="17"/>
      <c r="G631" s="17"/>
      <c r="H631" s="17"/>
      <c r="I631" s="17" t="s">
        <v>193</v>
      </c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2.75" customHeight="1" x14ac:dyDescent="0.25">
      <c r="A632" s="15"/>
      <c r="B632" s="15"/>
      <c r="C632" s="15"/>
      <c r="D632" s="15"/>
      <c r="E632" s="15"/>
      <c r="F632" s="17"/>
      <c r="G632" s="17"/>
      <c r="H632" s="17"/>
      <c r="I632" s="17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25.5" customHeight="1" x14ac:dyDescent="0.25">
      <c r="A633" s="15"/>
      <c r="B633" s="44"/>
      <c r="C633" s="44"/>
      <c r="D633" s="44"/>
      <c r="E633" s="44"/>
      <c r="F633" s="43"/>
      <c r="G633" s="230"/>
      <c r="H633" s="230"/>
      <c r="I633" s="17" t="s">
        <v>193</v>
      </c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2" customHeight="1" x14ac:dyDescent="0.25"/>
    <row r="635" spans="1:27" ht="9.75" customHeight="1" x14ac:dyDescent="0.25"/>
    <row r="636" spans="1:27" ht="9.75" customHeight="1" x14ac:dyDescent="0.25"/>
    <row r="637" spans="1:27" ht="9.75" customHeight="1" x14ac:dyDescent="0.25"/>
    <row r="638" spans="1:27" ht="12.75" customHeight="1" x14ac:dyDescent="0.25"/>
    <row r="639" spans="1:27" ht="12.75" customHeight="1" x14ac:dyDescent="0.25"/>
    <row r="640" spans="1:27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9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</sheetData>
  <mergeCells count="193">
    <mergeCell ref="B232:B234"/>
    <mergeCell ref="C232:C234"/>
    <mergeCell ref="D232:D234"/>
    <mergeCell ref="E232:E234"/>
    <mergeCell ref="F232:F234"/>
    <mergeCell ref="G232:G234"/>
    <mergeCell ref="F208:H208"/>
    <mergeCell ref="F209:H209"/>
    <mergeCell ref="F210:H210"/>
    <mergeCell ref="F211:H211"/>
    <mergeCell ref="F212:H212"/>
    <mergeCell ref="B217:B219"/>
    <mergeCell ref="C217:C219"/>
    <mergeCell ref="D217:D219"/>
    <mergeCell ref="E217:E219"/>
    <mergeCell ref="F217:F219"/>
    <mergeCell ref="G217:G219"/>
    <mergeCell ref="F199:H199"/>
    <mergeCell ref="F200:H200"/>
    <mergeCell ref="F201:H201"/>
    <mergeCell ref="F202:H202"/>
    <mergeCell ref="F203:H203"/>
    <mergeCell ref="F204:H204"/>
    <mergeCell ref="F205:H205"/>
    <mergeCell ref="F206:H206"/>
    <mergeCell ref="F207:H207"/>
    <mergeCell ref="B178:B179"/>
    <mergeCell ref="C178:D178"/>
    <mergeCell ref="F178:G178"/>
    <mergeCell ref="H178:H179"/>
    <mergeCell ref="J178:J179"/>
    <mergeCell ref="L183:L184"/>
    <mergeCell ref="B192:C192"/>
    <mergeCell ref="F197:H197"/>
    <mergeCell ref="F198:H198"/>
    <mergeCell ref="C157:G157"/>
    <mergeCell ref="B158:C158"/>
    <mergeCell ref="B162:B163"/>
    <mergeCell ref="C162:D162"/>
    <mergeCell ref="F162:G162"/>
    <mergeCell ref="H162:I162"/>
    <mergeCell ref="J162:K162"/>
    <mergeCell ref="L162:L163"/>
    <mergeCell ref="B173:C173"/>
    <mergeCell ref="C120:N120"/>
    <mergeCell ref="B121:C121"/>
    <mergeCell ref="B125:B126"/>
    <mergeCell ref="C125:D125"/>
    <mergeCell ref="F125:G125"/>
    <mergeCell ref="H125:I125"/>
    <mergeCell ref="J125:J126"/>
    <mergeCell ref="B139:C139"/>
    <mergeCell ref="B143:B144"/>
    <mergeCell ref="C143:D143"/>
    <mergeCell ref="F143:G143"/>
    <mergeCell ref="H143:H144"/>
    <mergeCell ref="I143:I144"/>
    <mergeCell ref="B104:B105"/>
    <mergeCell ref="C104:D104"/>
    <mergeCell ref="F104:G104"/>
    <mergeCell ref="H104:I104"/>
    <mergeCell ref="J104:K104"/>
    <mergeCell ref="L104:N104"/>
    <mergeCell ref="O104:O105"/>
    <mergeCell ref="P104:P105"/>
    <mergeCell ref="C119:N119"/>
    <mergeCell ref="B95:B98"/>
    <mergeCell ref="C95:F95"/>
    <mergeCell ref="K95:M95"/>
    <mergeCell ref="N95:P95"/>
    <mergeCell ref="C96:F96"/>
    <mergeCell ref="K96:M96"/>
    <mergeCell ref="N96:P96"/>
    <mergeCell ref="C97:F97"/>
    <mergeCell ref="K97:M97"/>
    <mergeCell ref="N97:P97"/>
    <mergeCell ref="C98:F98"/>
    <mergeCell ref="K98:M98"/>
    <mergeCell ref="N98:P98"/>
    <mergeCell ref="B91:B94"/>
    <mergeCell ref="C91:F91"/>
    <mergeCell ref="K91:M91"/>
    <mergeCell ref="N91:P91"/>
    <mergeCell ref="C92:F92"/>
    <mergeCell ref="K92:M92"/>
    <mergeCell ref="N92:P92"/>
    <mergeCell ref="C93:F93"/>
    <mergeCell ref="K93:M93"/>
    <mergeCell ref="N93:P93"/>
    <mergeCell ref="C94:F94"/>
    <mergeCell ref="K94:M94"/>
    <mergeCell ref="N94:P94"/>
    <mergeCell ref="B87:B90"/>
    <mergeCell ref="C87:F87"/>
    <mergeCell ref="K87:M87"/>
    <mergeCell ref="N87:P87"/>
    <mergeCell ref="C88:F88"/>
    <mergeCell ref="K88:M88"/>
    <mergeCell ref="N88:P88"/>
    <mergeCell ref="C89:F89"/>
    <mergeCell ref="K89:M89"/>
    <mergeCell ref="N89:P89"/>
    <mergeCell ref="C90:F90"/>
    <mergeCell ref="K90:M90"/>
    <mergeCell ref="N90:P90"/>
    <mergeCell ref="B83:B86"/>
    <mergeCell ref="C83:F83"/>
    <mergeCell ref="K83:M83"/>
    <mergeCell ref="N83:P83"/>
    <mergeCell ref="C84:F84"/>
    <mergeCell ref="K84:M84"/>
    <mergeCell ref="N84:P84"/>
    <mergeCell ref="C85:F85"/>
    <mergeCell ref="K85:M85"/>
    <mergeCell ref="N85:P85"/>
    <mergeCell ref="C86:F86"/>
    <mergeCell ref="K86:M86"/>
    <mergeCell ref="N86:P86"/>
    <mergeCell ref="B76:B77"/>
    <mergeCell ref="C76:H76"/>
    <mergeCell ref="I76:L76"/>
    <mergeCell ref="N76:O76"/>
    <mergeCell ref="C77:H77"/>
    <mergeCell ref="I77:L77"/>
    <mergeCell ref="N77:O77"/>
    <mergeCell ref="C81:G81"/>
    <mergeCell ref="C82:F82"/>
    <mergeCell ref="K82:M82"/>
    <mergeCell ref="N82:P82"/>
    <mergeCell ref="C71:H71"/>
    <mergeCell ref="I71:L71"/>
    <mergeCell ref="N71:O71"/>
    <mergeCell ref="C72:H72"/>
    <mergeCell ref="I72:L72"/>
    <mergeCell ref="N72:O72"/>
    <mergeCell ref="C73:H73"/>
    <mergeCell ref="I73:L73"/>
    <mergeCell ref="N73:O73"/>
    <mergeCell ref="B68:B69"/>
    <mergeCell ref="C68:H69"/>
    <mergeCell ref="I68:L68"/>
    <mergeCell ref="M68:M69"/>
    <mergeCell ref="N68:O68"/>
    <mergeCell ref="I69:L69"/>
    <mergeCell ref="N69:O69"/>
    <mergeCell ref="C70:H70"/>
    <mergeCell ref="I70:L70"/>
    <mergeCell ref="N70:O70"/>
    <mergeCell ref="N63:O63"/>
    <mergeCell ref="C64:H65"/>
    <mergeCell ref="I64:L64"/>
    <mergeCell ref="N64:O64"/>
    <mergeCell ref="I65:L65"/>
    <mergeCell ref="N65:O65"/>
    <mergeCell ref="B66:B67"/>
    <mergeCell ref="C66:H67"/>
    <mergeCell ref="I66:L66"/>
    <mergeCell ref="N66:O66"/>
    <mergeCell ref="I67:L67"/>
    <mergeCell ref="N67:O67"/>
    <mergeCell ref="B54:M54"/>
    <mergeCell ref="C56:H56"/>
    <mergeCell ref="I56:L56"/>
    <mergeCell ref="N56:O56"/>
    <mergeCell ref="B57:B65"/>
    <mergeCell ref="C57:H57"/>
    <mergeCell ref="I57:L57"/>
    <mergeCell ref="N57:O57"/>
    <mergeCell ref="C58:H58"/>
    <mergeCell ref="I58:L58"/>
    <mergeCell ref="N58:O58"/>
    <mergeCell ref="C59:H59"/>
    <mergeCell ref="I59:L59"/>
    <mergeCell ref="N59:O59"/>
    <mergeCell ref="C60:H60"/>
    <mergeCell ref="I60:L60"/>
    <mergeCell ref="N60:O60"/>
    <mergeCell ref="C61:H61"/>
    <mergeCell ref="I61:L61"/>
    <mergeCell ref="N61:O61"/>
    <mergeCell ref="C62:H63"/>
    <mergeCell ref="I62:L62"/>
    <mergeCell ref="N62:O62"/>
    <mergeCell ref="I63:L63"/>
    <mergeCell ref="C25:F25"/>
    <mergeCell ref="C26:F26"/>
    <mergeCell ref="C27:F27"/>
    <mergeCell ref="C28:F28"/>
    <mergeCell ref="B30:J30"/>
    <mergeCell ref="B31:I32"/>
    <mergeCell ref="B44:M45"/>
    <mergeCell ref="B48:M49"/>
    <mergeCell ref="B53:F53"/>
  </mergeCells>
  <hyperlinks>
    <hyperlink ref="B43" r:id="rId1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RowHeight="13.2" x14ac:dyDescent="0.25"/>
  <cols>
    <col min="1" max="1" width="24.6640625" customWidth="1"/>
    <col min="2" max="2" width="20.88671875" customWidth="1"/>
    <col min="3" max="6" width="9.109375" customWidth="1"/>
    <col min="7" max="26" width="8.6640625" customWidth="1"/>
    <col min="27" max="1025" width="12.6640625" customWidth="1"/>
  </cols>
  <sheetData>
    <row r="1" spans="1:26" ht="19.5" customHeight="1" x14ac:dyDescent="0.25">
      <c r="A1" s="608" t="s">
        <v>574</v>
      </c>
      <c r="B1" s="608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9.5" customHeight="1" x14ac:dyDescent="0.25">
      <c r="A2" s="516" t="s">
        <v>575</v>
      </c>
      <c r="B2" s="517" t="s">
        <v>576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9.5" customHeight="1" x14ac:dyDescent="0.25">
      <c r="A3" s="518">
        <v>1</v>
      </c>
      <c r="B3" s="519">
        <v>33.630000000000003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9.5" customHeight="1" x14ac:dyDescent="0.25">
      <c r="A4" s="518">
        <v>2</v>
      </c>
      <c r="B4" s="519">
        <v>43.13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9.5" customHeight="1" x14ac:dyDescent="0.25">
      <c r="A5" s="518">
        <v>3</v>
      </c>
      <c r="B5" s="519">
        <v>48.68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9.5" customHeight="1" x14ac:dyDescent="0.25">
      <c r="A6" s="518">
        <v>4</v>
      </c>
      <c r="B6" s="519">
        <v>52.62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9.5" customHeight="1" x14ac:dyDescent="0.25">
      <c r="A7" s="518">
        <v>5</v>
      </c>
      <c r="B7" s="519">
        <v>55.68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9.5" customHeight="1" x14ac:dyDescent="0.25">
      <c r="A8" s="518">
        <v>6</v>
      </c>
      <c r="B8" s="519">
        <v>58.18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9.5" customHeight="1" x14ac:dyDescent="0.25">
      <c r="A9" s="518">
        <v>7</v>
      </c>
      <c r="B9" s="519">
        <v>60.29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9.5" customHeight="1" x14ac:dyDescent="0.25">
      <c r="A10" s="518">
        <v>8</v>
      </c>
      <c r="B10" s="519">
        <v>62.12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9.5" customHeight="1" x14ac:dyDescent="0.25">
      <c r="A11" s="518">
        <v>9</v>
      </c>
      <c r="B11" s="519">
        <v>63.73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9.5" customHeight="1" x14ac:dyDescent="0.25">
      <c r="A12" s="518">
        <v>10</v>
      </c>
      <c r="B12" s="519">
        <v>65.180000000000007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9.5" customHeight="1" x14ac:dyDescent="0.25">
      <c r="A13" s="518">
        <v>11</v>
      </c>
      <c r="B13" s="519">
        <v>66.48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9.5" customHeight="1" x14ac:dyDescent="0.25">
      <c r="A14" s="518">
        <v>12</v>
      </c>
      <c r="B14" s="519">
        <v>67.67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9.5" customHeight="1" x14ac:dyDescent="0.25">
      <c r="A15" s="518">
        <v>13</v>
      </c>
      <c r="B15" s="519">
        <v>68.77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9.5" customHeight="1" x14ac:dyDescent="0.25">
      <c r="A16" s="518">
        <v>14</v>
      </c>
      <c r="B16" s="519">
        <v>69.790000000000006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9.5" customHeight="1" x14ac:dyDescent="0.25">
      <c r="A17" s="520">
        <v>15</v>
      </c>
      <c r="B17" s="521">
        <v>70.73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2.75" customHeight="1" x14ac:dyDescent="0.25"/>
    <row r="19" spans="1:26" ht="12.75" customHeight="1" x14ac:dyDescent="0.25"/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A1:B1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RowHeight="13.2" x14ac:dyDescent="0.25"/>
  <cols>
    <col min="1" max="1" width="70.33203125" customWidth="1"/>
    <col min="2" max="3" width="9.109375" customWidth="1"/>
    <col min="4" max="4" width="12.88671875" customWidth="1"/>
    <col min="5" max="6" width="9.109375" customWidth="1"/>
    <col min="7" max="26" width="8.6640625" customWidth="1"/>
    <col min="27" max="1025" width="12.6640625" customWidth="1"/>
  </cols>
  <sheetData>
    <row r="1" spans="1:26" ht="12.75" customHeight="1" x14ac:dyDescent="0.3">
      <c r="A1" s="522" t="s">
        <v>577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2.75" customHeight="1" x14ac:dyDescent="0.25">
      <c r="A2" s="523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2.75" customHeight="1" x14ac:dyDescent="0.25">
      <c r="A3" s="523" t="s">
        <v>578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2.75" customHeight="1" x14ac:dyDescent="0.25">
      <c r="A4" s="523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2.75" customHeight="1" x14ac:dyDescent="0.25">
      <c r="A5" s="523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2.75" customHeight="1" x14ac:dyDescent="0.25">
      <c r="A6" s="523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2.75" customHeight="1" x14ac:dyDescent="0.25">
      <c r="A7" s="523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2.75" customHeight="1" x14ac:dyDescent="0.25">
      <c r="A8" s="523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2.75" customHeight="1" x14ac:dyDescent="0.25">
      <c r="A9" s="523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2.75" customHeight="1" x14ac:dyDescent="0.25">
      <c r="A10" s="523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2.75" customHeight="1" x14ac:dyDescent="0.25">
      <c r="A11" s="523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2.75" customHeight="1" x14ac:dyDescent="0.4">
      <c r="A12" s="524" t="s">
        <v>579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2.75" customHeight="1" x14ac:dyDescent="0.25">
      <c r="A13" s="524" t="s">
        <v>580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2.75" customHeight="1" x14ac:dyDescent="0.25">
      <c r="A14" s="524" t="s">
        <v>581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2.75" customHeight="1" x14ac:dyDescent="0.4">
      <c r="A15" s="524" t="s">
        <v>582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2.75" customHeight="1" x14ac:dyDescent="0.4">
      <c r="A16" s="524" t="s">
        <v>583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2.75" customHeight="1" x14ac:dyDescent="0.25">
      <c r="A17" s="525" t="s">
        <v>584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2.75" customHeight="1" x14ac:dyDescent="0.25"/>
    <row r="19" spans="1:26" ht="12.75" customHeight="1" x14ac:dyDescent="0.25"/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78"/>
  <sheetViews>
    <sheetView topLeftCell="A712" zoomScaleNormal="100" workbookViewId="0">
      <selection activeCell="G743" sqref="G743"/>
    </sheetView>
  </sheetViews>
  <sheetFormatPr defaultRowHeight="13.2" x14ac:dyDescent="0.25"/>
  <cols>
    <col min="1" max="1" width="45.77734375" customWidth="1"/>
    <col min="2" max="2" width="16" customWidth="1"/>
    <col min="3" max="3" width="11.88671875" customWidth="1"/>
    <col min="4" max="4" width="14.77734375" customWidth="1"/>
    <col min="5" max="5" width="15.33203125" customWidth="1"/>
    <col min="6" max="6" width="13.21875" customWidth="1"/>
    <col min="7" max="7" width="37.77734375" customWidth="1"/>
    <col min="8" max="8" width="9.109375" customWidth="1"/>
    <col min="9" max="9" width="14.6640625" customWidth="1"/>
    <col min="10" max="10" width="13.33203125" customWidth="1"/>
    <col min="11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16" t="s">
        <v>194</v>
      </c>
      <c r="B1" s="15"/>
      <c r="C1" s="15"/>
      <c r="D1" s="17"/>
      <c r="E1" s="17"/>
      <c r="F1" s="17"/>
      <c r="G1" s="1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8" t="s">
        <v>195</v>
      </c>
      <c r="B2" s="15"/>
      <c r="C2" s="15"/>
      <c r="D2" s="17"/>
      <c r="E2" s="17"/>
      <c r="F2" s="17"/>
      <c r="G2" s="1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8" t="s">
        <v>196</v>
      </c>
      <c r="B3" s="15"/>
      <c r="C3" s="15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8" t="s">
        <v>197</v>
      </c>
      <c r="B4" s="15"/>
      <c r="C4" s="15"/>
      <c r="D4" s="17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 x14ac:dyDescent="0.25">
      <c r="A5" s="37" t="s">
        <v>198</v>
      </c>
      <c r="B5" s="15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231" t="s">
        <v>199</v>
      </c>
      <c r="B6" s="222"/>
      <c r="C6" s="222"/>
      <c r="D6" s="222"/>
      <c r="E6" s="222"/>
      <c r="F6" s="222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15"/>
      <c r="B7" s="222"/>
      <c r="C7" s="222"/>
      <c r="D7" s="222"/>
      <c r="E7" s="222"/>
      <c r="F7" s="222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18" t="s">
        <v>200</v>
      </c>
      <c r="B8" s="222"/>
      <c r="C8" s="222"/>
      <c r="D8" s="222"/>
      <c r="E8" s="222"/>
      <c r="F8" s="22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18" t="s">
        <v>201</v>
      </c>
      <c r="B9" s="222"/>
      <c r="C9" s="222"/>
      <c r="D9" s="222"/>
      <c r="E9" s="222"/>
      <c r="F9" s="222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5" customHeight="1" x14ac:dyDescent="0.25">
      <c r="A10" s="15"/>
      <c r="B10" s="222"/>
      <c r="C10" s="222"/>
      <c r="D10" s="17"/>
      <c r="E10" s="17"/>
      <c r="F10" s="17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7.25" customHeight="1" x14ac:dyDescent="0.25">
      <c r="A11" s="593" t="s">
        <v>202</v>
      </c>
      <c r="B11" s="593"/>
      <c r="C11" s="593"/>
      <c r="D11" s="593"/>
      <c r="E11" s="593"/>
      <c r="F11" s="593"/>
      <c r="G11" s="22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.75" customHeight="1" x14ac:dyDescent="0.25">
      <c r="A12" s="594" t="s">
        <v>203</v>
      </c>
      <c r="B12" s="594"/>
      <c r="C12" s="594"/>
      <c r="D12" s="594"/>
      <c r="E12" s="594"/>
      <c r="F12" s="594"/>
      <c r="G12" s="22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0.5" customHeight="1" x14ac:dyDescent="0.25">
      <c r="A13" s="232"/>
      <c r="B13" s="222"/>
      <c r="C13" s="222"/>
      <c r="D13" s="17"/>
      <c r="E13" s="17"/>
      <c r="F13" s="233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5">
      <c r="A14" s="595" t="s">
        <v>204</v>
      </c>
      <c r="B14" s="595"/>
      <c r="C14" s="595"/>
      <c r="D14" s="595"/>
      <c r="E14" s="595"/>
      <c r="F14" s="595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34" t="s">
        <v>205</v>
      </c>
      <c r="B15" s="235"/>
      <c r="C15" s="235"/>
      <c r="D15" s="236"/>
      <c r="E15" s="237" t="s">
        <v>206</v>
      </c>
      <c r="F15" s="238" t="s">
        <v>207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5">
      <c r="A16" s="239" t="str">
        <f>A103</f>
        <v>1. Mão-de-obra</v>
      </c>
      <c r="B16" s="240"/>
      <c r="C16" s="240"/>
      <c r="D16" s="240"/>
      <c r="E16" s="241">
        <f>+F191</f>
        <v>0</v>
      </c>
      <c r="F16" s="242">
        <f t="shared" ref="F16:F47" si="0">IFERROR(E16/$E$79,0)</f>
        <v>0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25">
      <c r="A17" s="243" t="str">
        <f>A105</f>
        <v>1.1. Operários/Agentes de Limpeza</v>
      </c>
      <c r="B17" s="244"/>
      <c r="C17" s="244"/>
      <c r="D17" s="244"/>
      <c r="E17" s="245">
        <f>F113</f>
        <v>0</v>
      </c>
      <c r="F17" s="246">
        <f t="shared" si="0"/>
        <v>0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5">
      <c r="A18" s="243" t="str">
        <f>A115</f>
        <v>1.2. Encarregado de Equipe</v>
      </c>
      <c r="B18" s="244"/>
      <c r="C18" s="244"/>
      <c r="D18" s="244"/>
      <c r="E18" s="245">
        <f>F123</f>
        <v>0</v>
      </c>
      <c r="F18" s="246">
        <f t="shared" si="0"/>
        <v>0</v>
      </c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5">
      <c r="A19" s="243" t="str">
        <f>A125</f>
        <v>1.3. Motorista Caminhão</v>
      </c>
      <c r="B19" s="244"/>
      <c r="C19" s="244"/>
      <c r="D19" s="244"/>
      <c r="E19" s="245">
        <f>F135</f>
        <v>0</v>
      </c>
      <c r="F19" s="246">
        <f t="shared" si="0"/>
        <v>0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243" t="str">
        <f>A137</f>
        <v>1.4. Motorista Ônibus Urbano</v>
      </c>
      <c r="B20" s="244"/>
      <c r="C20" s="244"/>
      <c r="D20" s="244"/>
      <c r="E20" s="245">
        <f>F147</f>
        <v>0</v>
      </c>
      <c r="F20" s="246">
        <f t="shared" si="0"/>
        <v>0</v>
      </c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243" t="str">
        <f>A149</f>
        <v>1.5. Operador de Máquina Rodoviária (Minicarregadeira e Trator Capinadeira)</v>
      </c>
      <c r="B21" s="244"/>
      <c r="C21" s="244"/>
      <c r="D21" s="244"/>
      <c r="E21" s="245">
        <f>F159</f>
        <v>0</v>
      </c>
      <c r="F21" s="246">
        <f t="shared" si="0"/>
        <v>0</v>
      </c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243" t="str">
        <f>A162</f>
        <v>1.6. Vale Transporte</v>
      </c>
      <c r="B22" s="244"/>
      <c r="C22" s="244"/>
      <c r="D22" s="244"/>
      <c r="E22" s="245">
        <f>F171</f>
        <v>0</v>
      </c>
      <c r="F22" s="246">
        <f t="shared" si="0"/>
        <v>0</v>
      </c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243" t="str">
        <f>A173</f>
        <v>1.7. Vale-refeição (diário)</v>
      </c>
      <c r="B23" s="244"/>
      <c r="C23" s="244"/>
      <c r="D23" s="244"/>
      <c r="E23" s="245">
        <f>F180</f>
        <v>0</v>
      </c>
      <c r="F23" s="246">
        <f t="shared" si="0"/>
        <v>0</v>
      </c>
      <c r="G23" s="1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243" t="str">
        <f>A182</f>
        <v>1.8. Auxílio Alimentação (mensal)</v>
      </c>
      <c r="B24" s="244"/>
      <c r="C24" s="244"/>
      <c r="D24" s="244"/>
      <c r="E24" s="245">
        <f>F189</f>
        <v>0</v>
      </c>
      <c r="F24" s="246">
        <f t="shared" si="0"/>
        <v>0</v>
      </c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596" t="str">
        <f>A193</f>
        <v>2. Uniformes e Equipamentos de Proteção Individual</v>
      </c>
      <c r="B25" s="596"/>
      <c r="C25" s="596"/>
      <c r="D25" s="240"/>
      <c r="E25" s="241">
        <f>+F269</f>
        <v>0</v>
      </c>
      <c r="F25" s="242">
        <f t="shared" si="0"/>
        <v>0</v>
      </c>
      <c r="G25" s="43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247" t="str">
        <f>A271</f>
        <v>3. Veículos e Equipamentos</v>
      </c>
      <c r="B26" s="248"/>
      <c r="C26" s="240"/>
      <c r="D26" s="240"/>
      <c r="E26" s="241" t="e">
        <f>+F724</f>
        <v>#DIV/0!</v>
      </c>
      <c r="F26" s="242">
        <f t="shared" si="0"/>
        <v>0</v>
      </c>
      <c r="G26" s="43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5.75" customHeight="1" x14ac:dyDescent="0.25">
      <c r="A27" s="597" t="str">
        <f>A273</f>
        <v>3.1 Caminhão Basculante com capacidade de 6m³ – Pot. Min. 136 Kw (185CV)</v>
      </c>
      <c r="B27" s="597"/>
      <c r="C27" s="597"/>
      <c r="D27" s="597"/>
      <c r="E27" s="245">
        <f>SUM(E28:E33)</f>
        <v>0</v>
      </c>
      <c r="F27" s="246">
        <f t="shared" si="0"/>
        <v>0</v>
      </c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249" t="s">
        <v>208</v>
      </c>
      <c r="B28" s="250"/>
      <c r="C28" s="244"/>
      <c r="D28" s="244"/>
      <c r="E28" s="245">
        <f>F284</f>
        <v>0</v>
      </c>
      <c r="F28" s="246">
        <f t="shared" si="0"/>
        <v>0</v>
      </c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249" t="s">
        <v>209</v>
      </c>
      <c r="B29" s="250"/>
      <c r="C29" s="244"/>
      <c r="D29" s="244"/>
      <c r="E29" s="245">
        <f>F295</f>
        <v>0</v>
      </c>
      <c r="F29" s="246">
        <f t="shared" si="0"/>
        <v>0</v>
      </c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251" t="str">
        <f>A297</f>
        <v>3.1.3. Impostos e Seguros - Caminhão</v>
      </c>
      <c r="B30" s="250"/>
      <c r="C30" s="244"/>
      <c r="D30" s="244"/>
      <c r="E30" s="245">
        <f>F303</f>
        <v>0</v>
      </c>
      <c r="F30" s="246">
        <f t="shared" si="0"/>
        <v>0</v>
      </c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251" t="str">
        <f>A305</f>
        <v>3.1.4. Consumos</v>
      </c>
      <c r="B31" s="250"/>
      <c r="C31" s="244"/>
      <c r="D31" s="244"/>
      <c r="E31" s="245">
        <f>F313</f>
        <v>0</v>
      </c>
      <c r="F31" s="246">
        <f t="shared" si="0"/>
        <v>0</v>
      </c>
      <c r="G31" s="1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251" t="str">
        <f>A315</f>
        <v>3.1.5. Manutenção</v>
      </c>
      <c r="B32" s="250"/>
      <c r="C32" s="244"/>
      <c r="D32" s="244"/>
      <c r="E32" s="245">
        <f>F318</f>
        <v>0</v>
      </c>
      <c r="F32" s="246">
        <f t="shared" si="0"/>
        <v>0</v>
      </c>
      <c r="G32" s="1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251" t="str">
        <f>A320</f>
        <v>3.1.6. Pneus</v>
      </c>
      <c r="B33" s="250"/>
      <c r="C33" s="244"/>
      <c r="D33" s="244"/>
      <c r="E33" s="245">
        <f>F327</f>
        <v>0</v>
      </c>
      <c r="F33" s="246">
        <f t="shared" si="0"/>
        <v>0</v>
      </c>
      <c r="G33" s="1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251" t="str">
        <f>A329</f>
        <v>3.1.7. Locação de Banheiro Químico</v>
      </c>
      <c r="B34" s="250"/>
      <c r="C34" s="244"/>
      <c r="D34" s="244"/>
      <c r="E34" s="245">
        <f>F331</f>
        <v>0</v>
      </c>
      <c r="F34" s="246">
        <f t="shared" si="0"/>
        <v>0</v>
      </c>
      <c r="G34" s="1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251" t="str">
        <f>A334</f>
        <v>3.1.8. Destinação Final dos Resíduos</v>
      </c>
      <c r="B35" s="250"/>
      <c r="C35" s="244"/>
      <c r="D35" s="244"/>
      <c r="E35" s="245" t="e">
        <f>F336</f>
        <v>#DIV/0!</v>
      </c>
      <c r="F35" s="246">
        <f t="shared" si="0"/>
        <v>0</v>
      </c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251" t="str">
        <f>A338</f>
        <v>3.1.9. Monitoramento da Frota</v>
      </c>
      <c r="B36" s="250"/>
      <c r="C36" s="244"/>
      <c r="D36" s="244"/>
      <c r="E36" s="245">
        <f>F346</f>
        <v>0</v>
      </c>
      <c r="F36" s="246">
        <f t="shared" si="0"/>
        <v>0</v>
      </c>
      <c r="G36" s="1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.75" customHeight="1" x14ac:dyDescent="0.25">
      <c r="A37" s="597" t="str">
        <f>A350</f>
        <v>3.2. Retroescavadeira sobre rodas com carregadeira, tração 4x4, potência líq. 88 HP</v>
      </c>
      <c r="B37" s="597"/>
      <c r="C37" s="597"/>
      <c r="D37" s="597"/>
      <c r="E37" s="245">
        <f>SUM(E38:E43)</f>
        <v>0</v>
      </c>
      <c r="F37" s="246">
        <f t="shared" si="0"/>
        <v>0</v>
      </c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249" t="s">
        <v>210</v>
      </c>
      <c r="B38" s="250"/>
      <c r="C38" s="244"/>
      <c r="D38" s="244"/>
      <c r="E38" s="245">
        <f>F361</f>
        <v>0</v>
      </c>
      <c r="F38" s="246">
        <f t="shared" si="0"/>
        <v>0</v>
      </c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249" t="s">
        <v>211</v>
      </c>
      <c r="B39" s="250"/>
      <c r="C39" s="244"/>
      <c r="D39" s="244"/>
      <c r="E39" s="245">
        <f>F372</f>
        <v>0</v>
      </c>
      <c r="F39" s="246">
        <f t="shared" si="0"/>
        <v>0</v>
      </c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251" t="str">
        <f>A374</f>
        <v>3.2.3. Impostos e Seguros</v>
      </c>
      <c r="B40" s="250"/>
      <c r="C40" s="244"/>
      <c r="D40" s="244"/>
      <c r="E40" s="245">
        <f>F380</f>
        <v>0</v>
      </c>
      <c r="F40" s="246">
        <f t="shared" si="0"/>
        <v>0</v>
      </c>
      <c r="G40" s="1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251" t="str">
        <f>A382</f>
        <v>3.2.4. Consumos</v>
      </c>
      <c r="B41" s="250"/>
      <c r="C41" s="244"/>
      <c r="D41" s="244"/>
      <c r="E41" s="245">
        <f>F390</f>
        <v>0</v>
      </c>
      <c r="F41" s="246">
        <f t="shared" si="0"/>
        <v>0</v>
      </c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251" t="str">
        <f>A392</f>
        <v>3.2.5. Manutenção</v>
      </c>
      <c r="B42" s="250"/>
      <c r="C42" s="244"/>
      <c r="D42" s="244"/>
      <c r="E42" s="245">
        <f>F395</f>
        <v>0</v>
      </c>
      <c r="F42" s="246">
        <f t="shared" si="0"/>
        <v>0</v>
      </c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251" t="str">
        <f>A397</f>
        <v>3.2.6. Pneus</v>
      </c>
      <c r="B43" s="250"/>
      <c r="C43" s="244"/>
      <c r="D43" s="244"/>
      <c r="E43" s="245">
        <f>F409</f>
        <v>0</v>
      </c>
      <c r="F43" s="246">
        <f t="shared" si="0"/>
        <v>0</v>
      </c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5">
      <c r="A44" s="252" t="str">
        <f>A410</f>
        <v>3.2.7. Monitoramento da Frota</v>
      </c>
      <c r="B44" s="253"/>
      <c r="C44" s="253"/>
      <c r="D44" s="253"/>
      <c r="E44" s="245">
        <f>F418</f>
        <v>0</v>
      </c>
      <c r="F44" s="246">
        <f t="shared" si="0"/>
        <v>0</v>
      </c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597" t="s">
        <v>212</v>
      </c>
      <c r="B45" s="597"/>
      <c r="C45" s="597"/>
      <c r="D45" s="597"/>
      <c r="E45" s="245">
        <f>SUM(E46:E51)</f>
        <v>0</v>
      </c>
      <c r="F45" s="246">
        <f t="shared" si="0"/>
        <v>0</v>
      </c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249" t="s">
        <v>213</v>
      </c>
      <c r="B46" s="250"/>
      <c r="C46" s="244"/>
      <c r="D46" s="244"/>
      <c r="E46" s="245">
        <f>F439</f>
        <v>0</v>
      </c>
      <c r="F46" s="246">
        <f t="shared" si="0"/>
        <v>0</v>
      </c>
      <c r="G46" s="1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249" t="s">
        <v>214</v>
      </c>
      <c r="B47" s="250"/>
      <c r="C47" s="244"/>
      <c r="D47" s="244"/>
      <c r="E47" s="245">
        <f>F455</f>
        <v>0</v>
      </c>
      <c r="F47" s="246">
        <f t="shared" si="0"/>
        <v>0</v>
      </c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251" t="str">
        <f>A457</f>
        <v>3.3.3. Impostos e Seguros</v>
      </c>
      <c r="B48" s="250"/>
      <c r="C48" s="244"/>
      <c r="D48" s="244"/>
      <c r="E48" s="245">
        <f>F463</f>
        <v>0</v>
      </c>
      <c r="F48" s="246">
        <f t="shared" ref="F48:F79" si="1">IFERROR(E48/$E$79,0)</f>
        <v>0</v>
      </c>
      <c r="G48" s="1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251" t="str">
        <f>A465</f>
        <v>3.3.4. Consumos</v>
      </c>
      <c r="B49" s="250"/>
      <c r="C49" s="244"/>
      <c r="D49" s="244"/>
      <c r="E49" s="245">
        <f>F473</f>
        <v>0</v>
      </c>
      <c r="F49" s="246">
        <f t="shared" si="1"/>
        <v>0</v>
      </c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251" t="str">
        <f>A475</f>
        <v>3.3.5. Manutenção</v>
      </c>
      <c r="B50" s="250"/>
      <c r="C50" s="244"/>
      <c r="D50" s="244"/>
      <c r="E50" s="245">
        <f>F478</f>
        <v>0</v>
      </c>
      <c r="F50" s="246">
        <f t="shared" si="1"/>
        <v>0</v>
      </c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251" t="str">
        <f>A480</f>
        <v>3.3.6. Pneus</v>
      </c>
      <c r="B51" s="250"/>
      <c r="C51" s="244"/>
      <c r="D51" s="244"/>
      <c r="E51" s="245">
        <f>F493</f>
        <v>0</v>
      </c>
      <c r="F51" s="246">
        <f t="shared" si="1"/>
        <v>0</v>
      </c>
      <c r="G51" s="1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251" t="str">
        <f>A495</f>
        <v>3.3.7. Monitoramento da Frota</v>
      </c>
      <c r="B52" s="250"/>
      <c r="C52" s="244"/>
      <c r="D52" s="244"/>
      <c r="E52" s="245">
        <f>F503</f>
        <v>0</v>
      </c>
      <c r="F52" s="246">
        <f t="shared" si="1"/>
        <v>0</v>
      </c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251" t="s">
        <v>215</v>
      </c>
      <c r="B53" s="250"/>
      <c r="C53" s="244"/>
      <c r="D53" s="244"/>
      <c r="E53" s="245">
        <f>SUM(E54:E59)</f>
        <v>0</v>
      </c>
      <c r="F53" s="246">
        <f t="shared" si="1"/>
        <v>0</v>
      </c>
      <c r="G53" s="1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249" t="s">
        <v>216</v>
      </c>
      <c r="B54" s="250"/>
      <c r="C54" s="244"/>
      <c r="D54" s="244"/>
      <c r="E54" s="245">
        <f>F522</f>
        <v>0</v>
      </c>
      <c r="F54" s="246">
        <f t="shared" si="1"/>
        <v>0</v>
      </c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249" t="s">
        <v>217</v>
      </c>
      <c r="B55" s="250"/>
      <c r="C55" s="244"/>
      <c r="D55" s="244"/>
      <c r="E55" s="245">
        <f>F538</f>
        <v>0</v>
      </c>
      <c r="F55" s="246">
        <f t="shared" si="1"/>
        <v>0</v>
      </c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251" t="str">
        <f>A540</f>
        <v>3.4.3. Impostos e Seguros</v>
      </c>
      <c r="B56" s="250"/>
      <c r="C56" s="244"/>
      <c r="D56" s="244"/>
      <c r="E56" s="245">
        <f>F546</f>
        <v>0</v>
      </c>
      <c r="F56" s="246">
        <f t="shared" si="1"/>
        <v>0</v>
      </c>
      <c r="G56" s="1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251" t="str">
        <f>A548</f>
        <v>3.4.4. Consumos</v>
      </c>
      <c r="B57" s="250"/>
      <c r="C57" s="244"/>
      <c r="D57" s="244"/>
      <c r="E57" s="245">
        <f>F556</f>
        <v>0</v>
      </c>
      <c r="F57" s="246">
        <f t="shared" si="1"/>
        <v>0</v>
      </c>
      <c r="G57" s="1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251" t="str">
        <f>A558</f>
        <v>3.4.5. Manutenção</v>
      </c>
      <c r="B58" s="250"/>
      <c r="C58" s="244"/>
      <c r="D58" s="244"/>
      <c r="E58" s="245">
        <f>F556</f>
        <v>0</v>
      </c>
      <c r="F58" s="246">
        <f t="shared" si="1"/>
        <v>0</v>
      </c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251" t="str">
        <f>A563</f>
        <v>3.4.6. Pneus</v>
      </c>
      <c r="B59" s="250"/>
      <c r="C59" s="244"/>
      <c r="D59" s="244"/>
      <c r="E59" s="245">
        <f>F576</f>
        <v>0</v>
      </c>
      <c r="F59" s="246">
        <f t="shared" si="1"/>
        <v>0</v>
      </c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252" t="str">
        <f>A578</f>
        <v>3.4.7. Monitoramento da Frota</v>
      </c>
      <c r="B60" s="253"/>
      <c r="C60" s="253"/>
      <c r="D60" s="253"/>
      <c r="E60" s="245">
        <f>F586</f>
        <v>0</v>
      </c>
      <c r="F60" s="246">
        <f t="shared" si="1"/>
        <v>0</v>
      </c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5">
      <c r="A61" s="597" t="str">
        <f>A589</f>
        <v>3.5. Veículo para transporte de pessoal (Miniônibus) – Mín. 30 lugares, Pot. Min 81 Kw (110 Cv)</v>
      </c>
      <c r="B61" s="597"/>
      <c r="C61" s="597"/>
      <c r="D61" s="597"/>
      <c r="E61" s="245">
        <f>SUM(E62:E67)</f>
        <v>0</v>
      </c>
      <c r="F61" s="246">
        <f t="shared" si="1"/>
        <v>0</v>
      </c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251" t="str">
        <f>A591</f>
        <v>3.5.1 Depreciação</v>
      </c>
      <c r="B62" s="250"/>
      <c r="C62" s="244"/>
      <c r="D62" s="244"/>
      <c r="E62" s="245">
        <f>F600</f>
        <v>0</v>
      </c>
      <c r="F62" s="246">
        <f t="shared" si="1"/>
        <v>0</v>
      </c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251" t="str">
        <f>A602</f>
        <v>3.5.2 Remuneração de Capital</v>
      </c>
      <c r="B63" s="250"/>
      <c r="C63" s="244"/>
      <c r="D63" s="244"/>
      <c r="E63" s="245">
        <f>F611</f>
        <v>0</v>
      </c>
      <c r="F63" s="246">
        <f t="shared" si="1"/>
        <v>0</v>
      </c>
      <c r="G63" s="1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251" t="str">
        <f>A613</f>
        <v>3.5.3. Impostos e Seguros - Caminhão</v>
      </c>
      <c r="B64" s="250"/>
      <c r="C64" s="244"/>
      <c r="D64" s="244"/>
      <c r="E64" s="245">
        <f>F619</f>
        <v>0</v>
      </c>
      <c r="F64" s="246">
        <f t="shared" si="1"/>
        <v>0</v>
      </c>
      <c r="G64" s="1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251" t="str">
        <f>A621</f>
        <v>3.5.4. Consumos</v>
      </c>
      <c r="B65" s="250"/>
      <c r="C65" s="244"/>
      <c r="D65" s="244"/>
      <c r="E65" s="245">
        <f>F629</f>
        <v>0</v>
      </c>
      <c r="F65" s="246">
        <f t="shared" si="1"/>
        <v>0</v>
      </c>
      <c r="G65" s="1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251" t="str">
        <f>A631</f>
        <v>3.5.5. Manutenção</v>
      </c>
      <c r="B66" s="250"/>
      <c r="C66" s="244"/>
      <c r="D66" s="244"/>
      <c r="E66" s="245">
        <f>F634</f>
        <v>0</v>
      </c>
      <c r="F66" s="246">
        <f t="shared" si="1"/>
        <v>0</v>
      </c>
      <c r="G66" s="1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251" t="str">
        <f>A636</f>
        <v>3.5.6. Pneus</v>
      </c>
      <c r="B67" s="250"/>
      <c r="C67" s="244"/>
      <c r="D67" s="244"/>
      <c r="E67" s="245">
        <f>F643</f>
        <v>0</v>
      </c>
      <c r="F67" s="246">
        <f t="shared" si="1"/>
        <v>0</v>
      </c>
      <c r="G67" s="1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252" t="str">
        <f>A645</f>
        <v>3.5.7. Monitoramento da Frota</v>
      </c>
      <c r="B68" s="253"/>
      <c r="C68" s="253"/>
      <c r="D68" s="253"/>
      <c r="E68" s="245">
        <f>F653</f>
        <v>0</v>
      </c>
      <c r="F68" s="246">
        <f t="shared" si="1"/>
        <v>0</v>
      </c>
      <c r="G68" s="1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597" t="str">
        <f>A657</f>
        <v>3.6. Roçadeira Costal/Lateral, Pot. Min 4 HP, a Gasolina</v>
      </c>
      <c r="B69" s="597"/>
      <c r="C69" s="597"/>
      <c r="D69" s="597"/>
      <c r="E69" s="245">
        <f>SUM(E70:E72)</f>
        <v>0</v>
      </c>
      <c r="F69" s="246">
        <f t="shared" si="1"/>
        <v>0</v>
      </c>
      <c r="G69" s="1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251" t="str">
        <f>A659</f>
        <v>3.6.1 Depreciação</v>
      </c>
      <c r="B70" s="250"/>
      <c r="C70" s="244"/>
      <c r="D70" s="244"/>
      <c r="E70" s="245">
        <f>F668</f>
        <v>0</v>
      </c>
      <c r="F70" s="246">
        <f t="shared" si="1"/>
        <v>0</v>
      </c>
      <c r="G70" s="1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5">
      <c r="A71" s="251" t="str">
        <f>A670</f>
        <v>3.6.2 Remuneração de Capital</v>
      </c>
      <c r="B71" s="250"/>
      <c r="C71" s="244"/>
      <c r="D71" s="244"/>
      <c r="E71" s="245">
        <f>F679</f>
        <v>0</v>
      </c>
      <c r="F71" s="246">
        <f t="shared" si="1"/>
        <v>0</v>
      </c>
      <c r="G71" s="1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5">
      <c r="A72" s="251" t="str">
        <f>A681</f>
        <v>3.6.3. Consumos</v>
      </c>
      <c r="B72" s="250"/>
      <c r="C72" s="244"/>
      <c r="D72" s="244"/>
      <c r="E72" s="245">
        <f>F688</f>
        <v>0</v>
      </c>
      <c r="F72" s="246">
        <f t="shared" si="1"/>
        <v>0</v>
      </c>
      <c r="G72" s="1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5">
      <c r="A73" s="597" t="str">
        <f>A690</f>
        <v>3.7. Soprador Costal, Pot. Min 3,48 HP</v>
      </c>
      <c r="B73" s="597"/>
      <c r="C73" s="597"/>
      <c r="D73" s="597"/>
      <c r="E73" s="245">
        <f>SUM(E74:E76)</f>
        <v>0</v>
      </c>
      <c r="F73" s="246">
        <f t="shared" si="1"/>
        <v>0</v>
      </c>
      <c r="G73" s="1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5">
      <c r="A74" s="251" t="str">
        <f>A692</f>
        <v>3.7.1 Depreciação</v>
      </c>
      <c r="B74" s="250"/>
      <c r="C74" s="244"/>
      <c r="D74" s="244"/>
      <c r="E74" s="245">
        <f>F701</f>
        <v>0</v>
      </c>
      <c r="F74" s="246">
        <f t="shared" si="1"/>
        <v>0</v>
      </c>
      <c r="G74" s="1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251" t="str">
        <f>A703</f>
        <v>3.7.2 Remuneração de Capital</v>
      </c>
      <c r="B75" s="250"/>
      <c r="C75" s="244"/>
      <c r="D75" s="244"/>
      <c r="E75" s="245">
        <f>F712</f>
        <v>0</v>
      </c>
      <c r="F75" s="246">
        <f t="shared" si="1"/>
        <v>0</v>
      </c>
      <c r="G75" s="1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5">
      <c r="A76" s="251" t="str">
        <f>A714</f>
        <v>3.7.3. Consumos</v>
      </c>
      <c r="B76" s="250"/>
      <c r="C76" s="244"/>
      <c r="D76" s="244"/>
      <c r="E76" s="245">
        <f>F721</f>
        <v>0</v>
      </c>
      <c r="F76" s="246">
        <f t="shared" si="1"/>
        <v>0</v>
      </c>
      <c r="G76" s="1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247" t="str">
        <f>A726</f>
        <v>4. Ferramentas, Materiais de Consumo e EPC</v>
      </c>
      <c r="B77" s="248"/>
      <c r="C77" s="240"/>
      <c r="D77" s="240"/>
      <c r="E77" s="241">
        <f>+F737</f>
        <v>0</v>
      </c>
      <c r="F77" s="242">
        <f t="shared" si="1"/>
        <v>0</v>
      </c>
      <c r="G77" s="43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5">
      <c r="A78" s="247" t="str">
        <f>A741</f>
        <v>5. Benefícios e Despesas Indiretas - BDI</v>
      </c>
      <c r="B78" s="248"/>
      <c r="C78" s="240"/>
      <c r="D78" s="240"/>
      <c r="E78" s="254" t="e">
        <f>+F747</f>
        <v>#DIV/0!</v>
      </c>
      <c r="F78" s="242">
        <f t="shared" si="1"/>
        <v>0</v>
      </c>
      <c r="G78" s="43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 x14ac:dyDescent="0.25">
      <c r="A79" s="255" t="s">
        <v>218</v>
      </c>
      <c r="B79" s="256"/>
      <c r="C79" s="257"/>
      <c r="D79" s="257"/>
      <c r="E79" s="258" t="e">
        <f>E16+E25+E26+E77+E78</f>
        <v>#DIV/0!</v>
      </c>
      <c r="F79" s="259">
        <f>F16+F25+F26+F77+F78</f>
        <v>0</v>
      </c>
      <c r="G79" s="1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15"/>
      <c r="B80" s="15"/>
      <c r="C80" s="15"/>
      <c r="D80" s="17"/>
      <c r="E80" s="17"/>
      <c r="F80" s="17"/>
      <c r="G80" s="17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5">
      <c r="A81" s="15"/>
      <c r="B81" s="15"/>
      <c r="C81" s="15"/>
      <c r="D81" s="17"/>
      <c r="E81" s="17"/>
      <c r="F81" s="17"/>
      <c r="G81" s="1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" customHeight="1" x14ac:dyDescent="0.25">
      <c r="A82" s="595" t="s">
        <v>219</v>
      </c>
      <c r="B82" s="595"/>
      <c r="C82" s="595"/>
      <c r="D82" s="595"/>
      <c r="E82" s="595"/>
      <c r="F82" s="17"/>
      <c r="G82" s="1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" customHeight="1" x14ac:dyDescent="0.25">
      <c r="A83" s="598" t="s">
        <v>220</v>
      </c>
      <c r="B83" s="598"/>
      <c r="C83" s="598"/>
      <c r="D83" s="598"/>
      <c r="E83" s="260" t="s">
        <v>55</v>
      </c>
      <c r="F83" s="17"/>
      <c r="G83" s="17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" customHeight="1" x14ac:dyDescent="0.25">
      <c r="A84" s="261" t="str">
        <f>+A105</f>
        <v>1.1. Operários/Agentes de Limpeza</v>
      </c>
      <c r="B84" s="235"/>
      <c r="C84" s="235"/>
      <c r="D84" s="262"/>
      <c r="E84" s="263">
        <f>C112</f>
        <v>80</v>
      </c>
      <c r="F84" s="17"/>
      <c r="G84" s="1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" customHeight="1" x14ac:dyDescent="0.25">
      <c r="A85" s="264" t="str">
        <f>A115</f>
        <v>1.2. Encarregado de Equipe</v>
      </c>
      <c r="B85" s="265"/>
      <c r="C85" s="265"/>
      <c r="D85" s="266"/>
      <c r="E85" s="267">
        <f>C122</f>
        <v>4</v>
      </c>
      <c r="F85" s="17"/>
      <c r="G85" s="1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" customHeight="1" x14ac:dyDescent="0.25">
      <c r="A86" s="264" t="str">
        <f>A125</f>
        <v>1.3. Motorista Caminhão</v>
      </c>
      <c r="B86" s="265"/>
      <c r="C86" s="265"/>
      <c r="D86" s="266"/>
      <c r="E86" s="267">
        <f>C134</f>
        <v>8</v>
      </c>
      <c r="F86" s="17"/>
      <c r="G86" s="1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" customHeight="1" x14ac:dyDescent="0.25">
      <c r="A87" s="264" t="str">
        <f>A137</f>
        <v>1.4. Motorista Ônibus Urbano</v>
      </c>
      <c r="B87" s="265"/>
      <c r="C87" s="265"/>
      <c r="D87" s="266"/>
      <c r="E87" s="267">
        <f>C146</f>
        <v>4</v>
      </c>
      <c r="F87" s="17"/>
      <c r="G87" s="1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" customHeight="1" x14ac:dyDescent="0.25">
      <c r="A88" s="264" t="str">
        <f>A149</f>
        <v>1.5. Operador de Máquina Rodoviária (Minicarregadeira e Trator Capinadeira)</v>
      </c>
      <c r="B88" s="265"/>
      <c r="C88" s="265"/>
      <c r="D88" s="266"/>
      <c r="E88" s="267">
        <f>C158</f>
        <v>8</v>
      </c>
      <c r="F88" s="17"/>
      <c r="G88" s="1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" customHeight="1" x14ac:dyDescent="0.25">
      <c r="A89" s="268" t="s">
        <v>221</v>
      </c>
      <c r="B89" s="269"/>
      <c r="C89" s="269"/>
      <c r="D89" s="270"/>
      <c r="E89" s="271">
        <f>SUM(E84:E88)</f>
        <v>104</v>
      </c>
      <c r="F89" s="17"/>
      <c r="G89" s="1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" customHeight="1" x14ac:dyDescent="0.25">
      <c r="A90" s="272"/>
      <c r="B90" s="121"/>
      <c r="C90" s="17"/>
      <c r="D90" s="17"/>
      <c r="E90" s="17"/>
      <c r="F90" s="17"/>
      <c r="G90" s="1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" customHeight="1" x14ac:dyDescent="0.25">
      <c r="A91" s="599" t="s">
        <v>222</v>
      </c>
      <c r="B91" s="599"/>
      <c r="C91" s="599"/>
      <c r="D91" s="599"/>
      <c r="E91" s="260" t="s">
        <v>55</v>
      </c>
      <c r="F91" s="15"/>
      <c r="G91" s="1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44.25" customHeight="1" x14ac:dyDescent="0.25">
      <c r="A92" s="597" t="str">
        <f>+A273</f>
        <v>3.1 Caminhão Basculante com capacidade de 6m³ – Pot. Min. 136 Kw (185CV)</v>
      </c>
      <c r="B92" s="597"/>
      <c r="C92" s="597"/>
      <c r="D92" s="597"/>
      <c r="E92" s="273">
        <f>C283</f>
        <v>8</v>
      </c>
      <c r="F92" s="15"/>
      <c r="G92" s="1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597" t="str">
        <f>A350</f>
        <v>3.2. Retroescavadeira sobre rodas com carregadeira, tração 4x4, potência líq. 88 HP</v>
      </c>
      <c r="B93" s="597"/>
      <c r="C93" s="597"/>
      <c r="D93" s="597"/>
      <c r="E93" s="273">
        <f>C360</f>
        <v>4</v>
      </c>
      <c r="F93" s="15"/>
      <c r="G93" s="1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597" t="str">
        <f>A45</f>
        <v>3.3. Trator Capinadeira 85 CV equipado com 01 capinadeira/Vassoura Mecânica.</v>
      </c>
      <c r="B94" s="597"/>
      <c r="C94" s="597"/>
      <c r="D94" s="597"/>
      <c r="E94" s="273">
        <f>C438</f>
        <v>3</v>
      </c>
      <c r="F94" s="15"/>
      <c r="G94" s="1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" customHeight="1" x14ac:dyDescent="0.25">
      <c r="A95" s="274" t="str">
        <f>A53</f>
        <v>3.4. Trator Capinadeira 85 CV equipado com 02 capinadeiras/Vassoura Mecânicas.</v>
      </c>
      <c r="B95" s="275"/>
      <c r="C95" s="275"/>
      <c r="D95" s="276"/>
      <c r="E95" s="273">
        <f>C521</f>
        <v>1</v>
      </c>
      <c r="F95" s="15"/>
      <c r="G95" s="1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" customHeight="1" x14ac:dyDescent="0.25">
      <c r="A96" s="274" t="str">
        <f>A589</f>
        <v>3.5. Veículo para transporte de pessoal (Miniônibus) – Mín. 30 lugares, Pot. Min 81 Kw (110 Cv)</v>
      </c>
      <c r="B96" s="275"/>
      <c r="C96" s="275"/>
      <c r="D96" s="276"/>
      <c r="E96" s="273">
        <f>C599</f>
        <v>4</v>
      </c>
      <c r="F96" s="15"/>
      <c r="G96" s="17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" customHeight="1" x14ac:dyDescent="0.25">
      <c r="A97" s="274" t="str">
        <f>A657</f>
        <v>3.6. Roçadeira Costal/Lateral, Pot. Min 4 HP, a Gasolina</v>
      </c>
      <c r="B97" s="275"/>
      <c r="C97" s="275"/>
      <c r="D97" s="276"/>
      <c r="E97" s="273">
        <f>C667</f>
        <v>32</v>
      </c>
      <c r="F97" s="15"/>
      <c r="G97" s="1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" customHeight="1" x14ac:dyDescent="0.25">
      <c r="A98" s="277" t="str">
        <f>A690</f>
        <v>3.7. Soprador Costal, Pot. Min 3,48 HP</v>
      </c>
      <c r="B98" s="278"/>
      <c r="C98" s="278"/>
      <c r="D98" s="279"/>
      <c r="E98" s="280">
        <f>C700</f>
        <v>4</v>
      </c>
      <c r="F98" s="15"/>
      <c r="G98" s="1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" customHeight="1" x14ac:dyDescent="0.25">
      <c r="A99" s="600" t="s">
        <v>223</v>
      </c>
      <c r="B99" s="600"/>
      <c r="C99" s="600"/>
      <c r="D99" s="600"/>
      <c r="E99" s="281">
        <f>SUM(E92:E98)</f>
        <v>56</v>
      </c>
      <c r="F99" s="15"/>
      <c r="G99" s="1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" customHeight="1" x14ac:dyDescent="0.25">
      <c r="A100" s="17"/>
      <c r="B100" s="17"/>
      <c r="C100" s="17"/>
      <c r="D100" s="15"/>
      <c r="E100" s="120"/>
      <c r="F100" s="15"/>
      <c r="G100" s="1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282" t="s">
        <v>224</v>
      </c>
      <c r="B101" s="283">
        <v>1</v>
      </c>
      <c r="C101" s="43"/>
      <c r="D101" s="44"/>
      <c r="E101" s="217"/>
      <c r="F101" s="44"/>
      <c r="G101" s="43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 x14ac:dyDescent="0.25">
      <c r="A102" s="17"/>
      <c r="B102" s="17"/>
      <c r="C102" s="17"/>
      <c r="D102" s="15"/>
      <c r="E102" s="158"/>
      <c r="F102" s="15"/>
      <c r="G102" s="17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44" t="s">
        <v>225</v>
      </c>
      <c r="B103" s="15"/>
      <c r="C103" s="15"/>
      <c r="D103" s="17"/>
      <c r="E103" s="17"/>
      <c r="F103" s="17"/>
      <c r="G103" s="17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1.25" customHeight="1" x14ac:dyDescent="0.25">
      <c r="A104" s="15"/>
      <c r="B104" s="15"/>
      <c r="C104" s="15"/>
      <c r="D104" s="17"/>
      <c r="E104" s="17"/>
      <c r="F104" s="17"/>
      <c r="G104" s="1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3.5" customHeight="1" x14ac:dyDescent="0.25">
      <c r="A105" s="15" t="s">
        <v>226</v>
      </c>
      <c r="B105" s="15"/>
      <c r="C105" s="15"/>
      <c r="D105" s="17"/>
      <c r="E105" s="17"/>
      <c r="F105" s="17"/>
      <c r="G105" s="17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3.5" customHeight="1" x14ac:dyDescent="0.25">
      <c r="A106" s="284" t="s">
        <v>227</v>
      </c>
      <c r="B106" s="285" t="s">
        <v>98</v>
      </c>
      <c r="C106" s="285" t="s">
        <v>55</v>
      </c>
      <c r="D106" s="286" t="s">
        <v>228</v>
      </c>
      <c r="E106" s="286" t="s">
        <v>229</v>
      </c>
      <c r="F106" s="287" t="s">
        <v>230</v>
      </c>
      <c r="G106" s="288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289" t="s">
        <v>231</v>
      </c>
      <c r="B107" s="290" t="s">
        <v>232</v>
      </c>
      <c r="C107" s="290">
        <v>1</v>
      </c>
      <c r="D107" s="291"/>
      <c r="E107" s="292">
        <f>C107*D107</f>
        <v>0</v>
      </c>
      <c r="F107" s="17"/>
      <c r="G107" s="17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293" t="s">
        <v>233</v>
      </c>
      <c r="B108" s="294" t="s">
        <v>207</v>
      </c>
      <c r="C108" s="294">
        <v>40</v>
      </c>
      <c r="D108" s="295">
        <f>SUM(E107)</f>
        <v>0</v>
      </c>
      <c r="E108" s="295">
        <f>C108*D108/100</f>
        <v>0</v>
      </c>
      <c r="F108" s="17"/>
      <c r="G108" s="17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296" t="s">
        <v>234</v>
      </c>
      <c r="B109" s="143"/>
      <c r="C109" s="143"/>
      <c r="D109" s="42"/>
      <c r="E109" s="297">
        <f>SUM(E107:E108)</f>
        <v>0</v>
      </c>
      <c r="F109" s="17"/>
      <c r="G109" s="17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293" t="s">
        <v>235</v>
      </c>
      <c r="B110" s="294" t="s">
        <v>207</v>
      </c>
      <c r="C110" s="298">
        <f>'6. Encargos Sociais'!$C$37*100</f>
        <v>71.22548900000001</v>
      </c>
      <c r="D110" s="295">
        <f>E109</f>
        <v>0</v>
      </c>
      <c r="E110" s="295">
        <f>D110*C110/100</f>
        <v>0</v>
      </c>
      <c r="F110" s="17"/>
      <c r="G110" s="17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296" t="s">
        <v>236</v>
      </c>
      <c r="B111" s="143"/>
      <c r="C111" s="143"/>
      <c r="D111" s="42"/>
      <c r="E111" s="297">
        <f>E109+E110</f>
        <v>0</v>
      </c>
      <c r="F111" s="17"/>
      <c r="G111" s="1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293" t="s">
        <v>237</v>
      </c>
      <c r="B112" s="294" t="s">
        <v>238</v>
      </c>
      <c r="C112" s="299">
        <f>'0. Qtdades e Custos'!C19</f>
        <v>80</v>
      </c>
      <c r="D112" s="295">
        <f>E111</f>
        <v>0</v>
      </c>
      <c r="E112" s="295">
        <f>C112*D112</f>
        <v>0</v>
      </c>
      <c r="F112" s="17"/>
      <c r="G112" s="1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3.5" customHeight="1" x14ac:dyDescent="0.25">
      <c r="A113" s="15"/>
      <c r="B113" s="15"/>
      <c r="C113" s="15"/>
      <c r="D113" s="205" t="s">
        <v>239</v>
      </c>
      <c r="E113" s="300">
        <f>$B$101</f>
        <v>1</v>
      </c>
      <c r="F113" s="301">
        <f>E112*E113</f>
        <v>0</v>
      </c>
      <c r="G113" s="17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1.25" customHeight="1" x14ac:dyDescent="0.25">
      <c r="A114" s="15"/>
      <c r="B114" s="15"/>
      <c r="C114" s="15"/>
      <c r="D114" s="17"/>
      <c r="E114" s="17"/>
      <c r="F114" s="17"/>
      <c r="G114" s="1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1.25" customHeight="1" x14ac:dyDescent="0.25">
      <c r="A115" s="15" t="s">
        <v>240</v>
      </c>
      <c r="B115" s="15"/>
      <c r="C115" s="15"/>
      <c r="D115" s="17"/>
      <c r="E115" s="17"/>
      <c r="F115" s="17"/>
      <c r="G115" s="1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1.25" customHeight="1" x14ac:dyDescent="0.25">
      <c r="A116" s="284" t="s">
        <v>227</v>
      </c>
      <c r="B116" s="285" t="s">
        <v>98</v>
      </c>
      <c r="C116" s="285" t="s">
        <v>55</v>
      </c>
      <c r="D116" s="286" t="s">
        <v>228</v>
      </c>
      <c r="E116" s="286" t="s">
        <v>229</v>
      </c>
      <c r="F116" s="287" t="s">
        <v>230</v>
      </c>
      <c r="G116" s="288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1.25" customHeight="1" x14ac:dyDescent="0.25">
      <c r="A117" s="289" t="s">
        <v>231</v>
      </c>
      <c r="B117" s="290" t="s">
        <v>232</v>
      </c>
      <c r="C117" s="290">
        <v>1</v>
      </c>
      <c r="D117" s="291"/>
      <c r="E117" s="292">
        <f>C117*D117</f>
        <v>0</v>
      </c>
      <c r="F117" s="17"/>
      <c r="G117" s="1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1.25" customHeight="1" x14ac:dyDescent="0.25">
      <c r="A118" s="293" t="s">
        <v>233</v>
      </c>
      <c r="B118" s="294" t="s">
        <v>207</v>
      </c>
      <c r="C118" s="294">
        <v>40</v>
      </c>
      <c r="D118" s="295">
        <f>SUM(E117)</f>
        <v>0</v>
      </c>
      <c r="E118" s="295">
        <f>C118*D118/100</f>
        <v>0</v>
      </c>
      <c r="F118" s="17"/>
      <c r="G118" s="17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1.25" customHeight="1" x14ac:dyDescent="0.25">
      <c r="A119" s="296" t="s">
        <v>234</v>
      </c>
      <c r="B119" s="143"/>
      <c r="C119" s="143"/>
      <c r="D119" s="42"/>
      <c r="E119" s="297">
        <f>SUM(E117:E118)</f>
        <v>0</v>
      </c>
      <c r="F119" s="17"/>
      <c r="G119" s="1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1.25" customHeight="1" x14ac:dyDescent="0.25">
      <c r="A120" s="293" t="s">
        <v>235</v>
      </c>
      <c r="B120" s="294" t="s">
        <v>207</v>
      </c>
      <c r="C120" s="298">
        <f>'6. Encargos Sociais'!$C$37*100</f>
        <v>71.22548900000001</v>
      </c>
      <c r="D120" s="295">
        <f>E119</f>
        <v>0</v>
      </c>
      <c r="E120" s="295">
        <f>D120*C120/100</f>
        <v>0</v>
      </c>
      <c r="F120" s="17"/>
      <c r="G120" s="1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1.25" customHeight="1" x14ac:dyDescent="0.25">
      <c r="A121" s="296" t="s">
        <v>236</v>
      </c>
      <c r="B121" s="143"/>
      <c r="C121" s="143"/>
      <c r="D121" s="42"/>
      <c r="E121" s="297">
        <f>E119+E120</f>
        <v>0</v>
      </c>
      <c r="F121" s="17"/>
      <c r="G121" s="1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1.25" customHeight="1" x14ac:dyDescent="0.25">
      <c r="A122" s="293" t="s">
        <v>237</v>
      </c>
      <c r="B122" s="294" t="s">
        <v>238</v>
      </c>
      <c r="C122" s="299">
        <f>'0. Qtdades e Custos'!C20</f>
        <v>4</v>
      </c>
      <c r="D122" s="295">
        <f>E121</f>
        <v>0</v>
      </c>
      <c r="E122" s="295">
        <f>C122*D122</f>
        <v>0</v>
      </c>
      <c r="F122" s="17"/>
      <c r="G122" s="1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1.25" customHeight="1" x14ac:dyDescent="0.25">
      <c r="A123" s="15"/>
      <c r="B123" s="15"/>
      <c r="C123" s="15"/>
      <c r="D123" s="205" t="s">
        <v>239</v>
      </c>
      <c r="E123" s="300">
        <f>$B$101</f>
        <v>1</v>
      </c>
      <c r="F123" s="301">
        <f>E122*E123</f>
        <v>0</v>
      </c>
      <c r="G123" s="1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1.25" customHeight="1" x14ac:dyDescent="0.25">
      <c r="A124" s="15"/>
      <c r="B124" s="15"/>
      <c r="C124" s="15"/>
      <c r="D124" s="17"/>
      <c r="E124" s="17"/>
      <c r="F124" s="17"/>
      <c r="G124" s="1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 t="s">
        <v>241</v>
      </c>
      <c r="B125" s="15"/>
      <c r="C125" s="15"/>
      <c r="D125" s="17"/>
      <c r="E125" s="17"/>
      <c r="F125" s="17"/>
      <c r="G125" s="1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284" t="s">
        <v>227</v>
      </c>
      <c r="B126" s="285" t="s">
        <v>98</v>
      </c>
      <c r="C126" s="285" t="s">
        <v>55</v>
      </c>
      <c r="D126" s="286" t="s">
        <v>228</v>
      </c>
      <c r="E126" s="286" t="s">
        <v>229</v>
      </c>
      <c r="F126" s="287" t="s">
        <v>230</v>
      </c>
      <c r="G126" s="288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2.75" customHeight="1" x14ac:dyDescent="0.25">
      <c r="A127" s="289" t="s">
        <v>242</v>
      </c>
      <c r="B127" s="290" t="s">
        <v>232</v>
      </c>
      <c r="C127" s="290">
        <v>1</v>
      </c>
      <c r="D127" s="291"/>
      <c r="E127" s="292">
        <f>C127*D127</f>
        <v>0</v>
      </c>
      <c r="F127" s="17"/>
      <c r="G127" s="1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289" t="s">
        <v>243</v>
      </c>
      <c r="B128" s="290" t="s">
        <v>232</v>
      </c>
      <c r="C128" s="294">
        <v>1</v>
      </c>
      <c r="D128" s="291">
        <v>1518</v>
      </c>
      <c r="E128" s="292"/>
      <c r="F128" s="17"/>
      <c r="G128" s="1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293" t="s">
        <v>244</v>
      </c>
      <c r="B129" s="294"/>
      <c r="C129" s="302"/>
      <c r="D129" s="295"/>
      <c r="E129" s="295"/>
      <c r="F129" s="17"/>
      <c r="G129" s="1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293" t="s">
        <v>233</v>
      </c>
      <c r="B130" s="294" t="s">
        <v>207</v>
      </c>
      <c r="C130" s="299">
        <v>0</v>
      </c>
      <c r="D130" s="295">
        <f>IF(C129=2,SUM(E127:E128),IF(C129=1,(SUM(E127:E128))*D128/D127,0))</f>
        <v>0</v>
      </c>
      <c r="E130" s="295">
        <f>C130*D130/100</f>
        <v>0</v>
      </c>
      <c r="F130" s="17"/>
      <c r="G130" s="1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81" t="s">
        <v>234</v>
      </c>
      <c r="B131" s="143"/>
      <c r="C131" s="143"/>
      <c r="D131" s="42"/>
      <c r="E131" s="303">
        <f>SUM(E127:E130)</f>
        <v>0</v>
      </c>
      <c r="F131" s="43"/>
      <c r="G131" s="43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.75" customHeight="1" x14ac:dyDescent="0.25">
      <c r="A132" s="293" t="s">
        <v>235</v>
      </c>
      <c r="B132" s="294" t="s">
        <v>207</v>
      </c>
      <c r="C132" s="298">
        <f>'6. Encargos Sociais'!$C$37*100</f>
        <v>71.22548900000001</v>
      </c>
      <c r="D132" s="295">
        <f>E131</f>
        <v>0</v>
      </c>
      <c r="E132" s="295">
        <f>D132*C132/100</f>
        <v>0</v>
      </c>
      <c r="F132" s="17"/>
      <c r="G132" s="17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81" t="s">
        <v>245</v>
      </c>
      <c r="B133" s="304"/>
      <c r="C133" s="304"/>
      <c r="D133" s="305"/>
      <c r="E133" s="303">
        <f>E131+E132</f>
        <v>0</v>
      </c>
      <c r="F133" s="43"/>
      <c r="G133" s="43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.75" customHeight="1" x14ac:dyDescent="0.25">
      <c r="A134" s="293" t="s">
        <v>237</v>
      </c>
      <c r="B134" s="294" t="s">
        <v>238</v>
      </c>
      <c r="C134" s="299">
        <f>'0. Qtdades e Custos'!C21</f>
        <v>8</v>
      </c>
      <c r="D134" s="295">
        <f>E133</f>
        <v>0</v>
      </c>
      <c r="E134" s="295">
        <f>C134*D134</f>
        <v>0</v>
      </c>
      <c r="F134" s="17"/>
      <c r="G134" s="1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205" t="s">
        <v>239</v>
      </c>
      <c r="E135" s="300">
        <f>$B$101</f>
        <v>1</v>
      </c>
      <c r="F135" s="301">
        <f>E134*E135</f>
        <v>0</v>
      </c>
      <c r="G135" s="17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1.25" customHeight="1" x14ac:dyDescent="0.25">
      <c r="A136" s="15"/>
      <c r="B136" s="15"/>
      <c r="C136" s="15"/>
      <c r="D136" s="17"/>
      <c r="E136" s="17"/>
      <c r="F136" s="17"/>
      <c r="G136" s="17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1.25" customHeight="1" x14ac:dyDescent="0.25">
      <c r="A137" s="15" t="s">
        <v>246</v>
      </c>
      <c r="B137" s="15"/>
      <c r="C137" s="15"/>
      <c r="D137" s="17"/>
      <c r="E137" s="17"/>
      <c r="F137" s="17"/>
      <c r="G137" s="17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1.25" customHeight="1" x14ac:dyDescent="0.25">
      <c r="A138" s="284" t="s">
        <v>227</v>
      </c>
      <c r="B138" s="285" t="s">
        <v>98</v>
      </c>
      <c r="C138" s="285" t="s">
        <v>55</v>
      </c>
      <c r="D138" s="286" t="s">
        <v>228</v>
      </c>
      <c r="E138" s="286" t="s">
        <v>229</v>
      </c>
      <c r="F138" s="287" t="s">
        <v>230</v>
      </c>
      <c r="G138" s="17"/>
      <c r="H138" s="152"/>
      <c r="I138" s="152"/>
      <c r="J138" s="152"/>
      <c r="K138" s="152"/>
      <c r="L138" s="152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1.25" customHeight="1" x14ac:dyDescent="0.25">
      <c r="A139" s="289" t="s">
        <v>242</v>
      </c>
      <c r="B139" s="290" t="s">
        <v>232</v>
      </c>
      <c r="C139" s="290">
        <v>1</v>
      </c>
      <c r="D139" s="291"/>
      <c r="E139" s="292">
        <f>C139*D139</f>
        <v>0</v>
      </c>
      <c r="F139" s="17"/>
      <c r="G139" s="17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1.25" customHeight="1" x14ac:dyDescent="0.25">
      <c r="A140" s="289" t="s">
        <v>243</v>
      </c>
      <c r="B140" s="290" t="s">
        <v>232</v>
      </c>
      <c r="C140" s="294">
        <v>1</v>
      </c>
      <c r="D140" s="291">
        <v>1518</v>
      </c>
      <c r="E140" s="292"/>
      <c r="F140" s="17"/>
      <c r="G140" s="17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1.25" customHeight="1" x14ac:dyDescent="0.25">
      <c r="A141" s="293" t="s">
        <v>244</v>
      </c>
      <c r="B141" s="294"/>
      <c r="C141" s="302"/>
      <c r="D141" s="295"/>
      <c r="E141" s="295"/>
      <c r="F141" s="17"/>
      <c r="G141" s="17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1.25" customHeight="1" x14ac:dyDescent="0.25">
      <c r="A142" s="293" t="s">
        <v>233</v>
      </c>
      <c r="B142" s="294" t="s">
        <v>207</v>
      </c>
      <c r="C142" s="299">
        <v>0</v>
      </c>
      <c r="D142" s="295">
        <f>IF(C141=2,SUM(E139:E140),IF(C141=1,(SUM(E139:E140))*D140/D139,0))</f>
        <v>0</v>
      </c>
      <c r="E142" s="295">
        <f>C142*D142/100</f>
        <v>0</v>
      </c>
      <c r="F142" s="17"/>
      <c r="G142" s="17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1.25" customHeight="1" x14ac:dyDescent="0.25">
      <c r="A143" s="181" t="s">
        <v>234</v>
      </c>
      <c r="B143" s="143"/>
      <c r="C143" s="143"/>
      <c r="D143" s="42"/>
      <c r="E143" s="303">
        <f>SUM(E139:E142)</f>
        <v>0</v>
      </c>
      <c r="F143" s="43"/>
      <c r="G143" s="43"/>
      <c r="H143" s="44"/>
      <c r="I143" s="44"/>
      <c r="J143" s="44"/>
      <c r="K143" s="44"/>
      <c r="L143" s="44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1.25" customHeight="1" x14ac:dyDescent="0.25">
      <c r="A144" s="293" t="s">
        <v>235</v>
      </c>
      <c r="B144" s="294" t="s">
        <v>207</v>
      </c>
      <c r="C144" s="298">
        <f>'6. Encargos Sociais'!$C$37*100</f>
        <v>71.22548900000001</v>
      </c>
      <c r="D144" s="295">
        <f>E143</f>
        <v>0</v>
      </c>
      <c r="E144" s="295">
        <f>D144*C144/100</f>
        <v>0</v>
      </c>
      <c r="F144" s="17"/>
      <c r="G144" s="1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1.25" customHeight="1" x14ac:dyDescent="0.25">
      <c r="A145" s="181" t="s">
        <v>245</v>
      </c>
      <c r="B145" s="304"/>
      <c r="C145" s="304"/>
      <c r="D145" s="305"/>
      <c r="E145" s="303">
        <f>E143+E144</f>
        <v>0</v>
      </c>
      <c r="F145" s="43"/>
      <c r="G145" s="43"/>
      <c r="H145" s="44"/>
      <c r="I145" s="44"/>
      <c r="J145" s="44"/>
      <c r="K145" s="44"/>
      <c r="L145" s="44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1.25" customHeight="1" x14ac:dyDescent="0.25">
      <c r="A146" s="293" t="s">
        <v>237</v>
      </c>
      <c r="B146" s="294" t="s">
        <v>238</v>
      </c>
      <c r="C146" s="299">
        <f>'0. Qtdades e Custos'!C22</f>
        <v>4</v>
      </c>
      <c r="D146" s="295">
        <f>E145</f>
        <v>0</v>
      </c>
      <c r="E146" s="295">
        <f>C146*D146</f>
        <v>0</v>
      </c>
      <c r="F146" s="17"/>
      <c r="G146" s="1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1.25" customHeight="1" x14ac:dyDescent="0.25">
      <c r="A147" s="15"/>
      <c r="B147" s="15"/>
      <c r="C147" s="15"/>
      <c r="D147" s="205" t="s">
        <v>239</v>
      </c>
      <c r="E147" s="300">
        <f>$B$101</f>
        <v>1</v>
      </c>
      <c r="F147" s="301">
        <f>E146*E147</f>
        <v>0</v>
      </c>
      <c r="G147" s="1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1.25" customHeight="1" x14ac:dyDescent="0.25">
      <c r="A148" s="15"/>
      <c r="B148" s="15"/>
      <c r="C148" s="15"/>
      <c r="D148" s="17"/>
      <c r="E148" s="17"/>
      <c r="F148" s="17"/>
      <c r="G148" s="1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1.25" customHeight="1" x14ac:dyDescent="0.25">
      <c r="A149" s="15" t="s">
        <v>247</v>
      </c>
      <c r="B149" s="15"/>
      <c r="C149" s="15"/>
      <c r="D149" s="17"/>
      <c r="E149" s="17"/>
      <c r="F149" s="17"/>
      <c r="G149" s="1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1.25" customHeight="1" x14ac:dyDescent="0.25">
      <c r="A150" s="284" t="s">
        <v>227</v>
      </c>
      <c r="B150" s="285" t="s">
        <v>98</v>
      </c>
      <c r="C150" s="285" t="s">
        <v>55</v>
      </c>
      <c r="D150" s="286" t="s">
        <v>228</v>
      </c>
      <c r="E150" s="286" t="s">
        <v>229</v>
      </c>
      <c r="F150" s="287" t="s">
        <v>230</v>
      </c>
      <c r="G150" s="288"/>
      <c r="H150" s="152"/>
      <c r="I150" s="152"/>
      <c r="J150" s="152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1.25" customHeight="1" x14ac:dyDescent="0.25">
      <c r="A151" s="289" t="s">
        <v>242</v>
      </c>
      <c r="B151" s="290" t="s">
        <v>232</v>
      </c>
      <c r="C151" s="290">
        <v>1</v>
      </c>
      <c r="D151" s="291"/>
      <c r="E151" s="292">
        <f>C151*D151</f>
        <v>0</v>
      </c>
      <c r="F151" s="17"/>
      <c r="G151" s="1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1.25" customHeight="1" x14ac:dyDescent="0.25">
      <c r="A152" s="289" t="s">
        <v>243</v>
      </c>
      <c r="B152" s="290" t="s">
        <v>232</v>
      </c>
      <c r="C152" s="290">
        <v>1</v>
      </c>
      <c r="D152" s="291">
        <v>1518</v>
      </c>
      <c r="E152" s="292"/>
      <c r="F152" s="17"/>
      <c r="G152" s="1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1.25" customHeight="1" x14ac:dyDescent="0.25">
      <c r="A153" s="293" t="s">
        <v>244</v>
      </c>
      <c r="B153" s="294"/>
      <c r="C153" s="302"/>
      <c r="D153" s="295"/>
      <c r="E153" s="295"/>
      <c r="F153" s="17"/>
      <c r="G153" s="17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1.25" customHeight="1" x14ac:dyDescent="0.25">
      <c r="A154" s="293" t="s">
        <v>233</v>
      </c>
      <c r="B154" s="294" t="s">
        <v>207</v>
      </c>
      <c r="C154" s="299">
        <v>0</v>
      </c>
      <c r="D154" s="295">
        <f>IF(C153=2,SUM(E151:E152),IF(C153=1,(SUM(E151:E152))*D152/D151,0))</f>
        <v>0</v>
      </c>
      <c r="E154" s="295">
        <f>C154*D154/100</f>
        <v>0</v>
      </c>
      <c r="F154" s="17"/>
      <c r="G154" s="17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1.25" customHeight="1" x14ac:dyDescent="0.25">
      <c r="A155" s="181" t="s">
        <v>234</v>
      </c>
      <c r="B155" s="143"/>
      <c r="C155" s="143"/>
      <c r="D155" s="42"/>
      <c r="E155" s="303">
        <f>SUM(E151:E154)</f>
        <v>0</v>
      </c>
      <c r="F155" s="43"/>
      <c r="G155" s="43"/>
      <c r="H155" s="44"/>
      <c r="I155" s="44"/>
      <c r="J155" s="44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1.25" customHeight="1" x14ac:dyDescent="0.25">
      <c r="A156" s="293" t="s">
        <v>235</v>
      </c>
      <c r="B156" s="294" t="s">
        <v>207</v>
      </c>
      <c r="C156" s="298">
        <f>'6. Encargos Sociais'!$C$37*100</f>
        <v>71.22548900000001</v>
      </c>
      <c r="D156" s="295">
        <f>E155</f>
        <v>0</v>
      </c>
      <c r="E156" s="295">
        <f>D156*C156/100</f>
        <v>0</v>
      </c>
      <c r="F156" s="17"/>
      <c r="G156" s="17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1.25" customHeight="1" x14ac:dyDescent="0.25">
      <c r="A157" s="181" t="s">
        <v>245</v>
      </c>
      <c r="B157" s="304"/>
      <c r="C157" s="304"/>
      <c r="D157" s="305"/>
      <c r="E157" s="303">
        <f>E155+E156</f>
        <v>0</v>
      </c>
      <c r="F157" s="43"/>
      <c r="G157" s="43"/>
      <c r="H157" s="44"/>
      <c r="I157" s="44"/>
      <c r="J157" s="44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1.25" customHeight="1" x14ac:dyDescent="0.25">
      <c r="A158" s="293" t="s">
        <v>237</v>
      </c>
      <c r="B158" s="294" t="s">
        <v>238</v>
      </c>
      <c r="C158" s="299">
        <f>'0. Qtdades e Custos'!C24</f>
        <v>8</v>
      </c>
      <c r="D158" s="295">
        <f>E157</f>
        <v>0</v>
      </c>
      <c r="E158" s="295">
        <f>C158*D158</f>
        <v>0</v>
      </c>
      <c r="F158" s="17"/>
      <c r="G158" s="17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1.25" customHeight="1" x14ac:dyDescent="0.25">
      <c r="A159" s="15"/>
      <c r="B159" s="15"/>
      <c r="C159" s="15"/>
      <c r="D159" s="205" t="s">
        <v>239</v>
      </c>
      <c r="E159" s="300">
        <f>$B$101</f>
        <v>1</v>
      </c>
      <c r="F159" s="301">
        <f>E158*E159</f>
        <v>0</v>
      </c>
      <c r="G159" s="17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1.25" customHeight="1" x14ac:dyDescent="0.25">
      <c r="A160" s="15"/>
      <c r="B160" s="15"/>
      <c r="C160" s="15"/>
      <c r="D160" s="17"/>
      <c r="E160" s="17"/>
      <c r="F160" s="17"/>
      <c r="G160" s="17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1.25" customHeight="1" x14ac:dyDescent="0.25">
      <c r="A161" s="15"/>
      <c r="B161" s="15"/>
      <c r="C161" s="15"/>
      <c r="D161" s="17"/>
      <c r="E161" s="17"/>
      <c r="F161" s="17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 t="s">
        <v>248</v>
      </c>
      <c r="B162" s="306"/>
      <c r="C162" s="15"/>
      <c r="D162" s="15"/>
      <c r="E162" s="15"/>
      <c r="F162" s="17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284" t="s">
        <v>227</v>
      </c>
      <c r="B163" s="285" t="s">
        <v>98</v>
      </c>
      <c r="C163" s="285" t="s">
        <v>55</v>
      </c>
      <c r="D163" s="286" t="s">
        <v>228</v>
      </c>
      <c r="E163" s="286" t="s">
        <v>229</v>
      </c>
      <c r="F163" s="287" t="s">
        <v>230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293" t="s">
        <v>249</v>
      </c>
      <c r="B164" s="294" t="s">
        <v>250</v>
      </c>
      <c r="C164" s="307">
        <v>1</v>
      </c>
      <c r="D164" s="308"/>
      <c r="E164" s="295"/>
      <c r="F164" s="17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293" t="s">
        <v>251</v>
      </c>
      <c r="B165" s="294" t="s">
        <v>252</v>
      </c>
      <c r="C165" s="309">
        <v>25.25</v>
      </c>
      <c r="D165" s="295"/>
      <c r="E165" s="295"/>
      <c r="F165" s="1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293" t="str">
        <f>A105</f>
        <v>1.1. Operários/Agentes de Limpeza</v>
      </c>
      <c r="B166" s="294" t="s">
        <v>253</v>
      </c>
      <c r="C166" s="310">
        <f>$C$165*2*(C112)</f>
        <v>4040</v>
      </c>
      <c r="D166" s="292">
        <f>IFERROR((($C$165*2*$D$164)-(E107*0.06*$C$165/26))/($C$165*2),"-")</f>
        <v>0</v>
      </c>
      <c r="E166" s="295">
        <f>IFERROR(C166*D166,"-")</f>
        <v>0</v>
      </c>
      <c r="F166" s="17"/>
      <c r="G166" s="17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293" t="str">
        <f>A115</f>
        <v>1.2. Encarregado de Equipe</v>
      </c>
      <c r="B167" s="294" t="s">
        <v>253</v>
      </c>
      <c r="C167" s="310">
        <f>$C$165*2*(C122)</f>
        <v>202</v>
      </c>
      <c r="D167" s="292">
        <f>IFERROR((($C$165*2*$D$164)-(E117*0.06*$C$165/26))/($C$165*2),"-")</f>
        <v>0</v>
      </c>
      <c r="E167" s="295">
        <f>IFERROR(C167*D167,"-")</f>
        <v>0</v>
      </c>
      <c r="F167" s="17"/>
      <c r="G167" s="17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293" t="str">
        <f>A125</f>
        <v>1.3. Motorista Caminhão</v>
      </c>
      <c r="B168" s="294" t="s">
        <v>253</v>
      </c>
      <c r="C168" s="310">
        <f>$C$165*2*(C134)</f>
        <v>404</v>
      </c>
      <c r="D168" s="292">
        <f>IFERROR((($C$165*2*$D$164)-(E127*0.06*$C$165/26))/($C$165*2),"-")</f>
        <v>0</v>
      </c>
      <c r="E168" s="295">
        <f>IFERROR(C168*D168,"-")</f>
        <v>0</v>
      </c>
      <c r="F168" s="17"/>
      <c r="G168" s="17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293" t="str">
        <f>A137</f>
        <v>1.4. Motorista Ônibus Urbano</v>
      </c>
      <c r="B169" s="294" t="s">
        <v>253</v>
      </c>
      <c r="C169" s="310">
        <f>$C$165*2*(C146)</f>
        <v>202</v>
      </c>
      <c r="D169" s="292">
        <f>IFERROR((($C$165*2*$D$164)-(E139*0.06*$C$165/26))/($C$165*2),"-")</f>
        <v>0</v>
      </c>
      <c r="E169" s="295">
        <f>IFERROR(C169*D169,"-")</f>
        <v>0</v>
      </c>
      <c r="F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311" t="str">
        <f>A149</f>
        <v>1.5. Operador de Máquina Rodoviária (Minicarregadeira e Trator Capinadeira)</v>
      </c>
      <c r="B170" s="290" t="s">
        <v>253</v>
      </c>
      <c r="C170" s="310">
        <f>$C$165*2*(C158)</f>
        <v>404</v>
      </c>
      <c r="D170" s="292">
        <f>IFERROR((($C$165*2*$D$164)-(E151*0.06*$C$165/26))/($C$165*2),"-")</f>
        <v>0</v>
      </c>
      <c r="E170" s="292">
        <f>IFERROR(C170*D170,"-")</f>
        <v>0</v>
      </c>
      <c r="F170" s="1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7"/>
      <c r="E171" s="17"/>
      <c r="F171" s="312">
        <f>SUM(E166:E170)</f>
        <v>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1.25" customHeight="1" x14ac:dyDescent="0.25">
      <c r="A172" s="15"/>
      <c r="B172" s="15"/>
      <c r="C172" s="15"/>
      <c r="D172" s="17"/>
      <c r="E172" s="17"/>
      <c r="F172" s="1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 t="s">
        <v>254</v>
      </c>
      <c r="B173" s="15"/>
      <c r="C173" s="15"/>
      <c r="D173" s="17"/>
      <c r="E173" s="17"/>
      <c r="F173" s="43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284" t="s">
        <v>227</v>
      </c>
      <c r="B174" s="285" t="s">
        <v>98</v>
      </c>
      <c r="C174" s="285" t="s">
        <v>55</v>
      </c>
      <c r="D174" s="286" t="s">
        <v>228</v>
      </c>
      <c r="E174" s="286" t="s">
        <v>229</v>
      </c>
      <c r="F174" s="287" t="s">
        <v>230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293" t="str">
        <f>+A166</f>
        <v>1.1. Operários/Agentes de Limpeza</v>
      </c>
      <c r="B175" s="294" t="s">
        <v>255</v>
      </c>
      <c r="C175" s="310">
        <f>$C$165*(E84)</f>
        <v>2020</v>
      </c>
      <c r="D175" s="313"/>
      <c r="E175" s="300">
        <f>C175*D175</f>
        <v>0</v>
      </c>
      <c r="F175" s="43"/>
      <c r="G175" s="288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293" t="str">
        <f>+A167</f>
        <v>1.2. Encarregado de Equipe</v>
      </c>
      <c r="B176" s="294" t="s">
        <v>255</v>
      </c>
      <c r="C176" s="310">
        <f>$C$165*(E85)</f>
        <v>101</v>
      </c>
      <c r="D176" s="313"/>
      <c r="E176" s="300">
        <f>C176*D176</f>
        <v>0</v>
      </c>
      <c r="F176" s="43"/>
      <c r="G176" s="288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293" t="str">
        <f>+A168</f>
        <v>1.3. Motorista Caminhão</v>
      </c>
      <c r="B177" s="294" t="s">
        <v>255</v>
      </c>
      <c r="C177" s="310">
        <f>$C$165*(E86)</f>
        <v>202</v>
      </c>
      <c r="D177" s="313"/>
      <c r="E177" s="300">
        <f>C177*D177</f>
        <v>0</v>
      </c>
      <c r="F177" s="43"/>
      <c r="G177" s="288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293" t="str">
        <f>+A169</f>
        <v>1.4. Motorista Ônibus Urbano</v>
      </c>
      <c r="B178" s="294" t="s">
        <v>255</v>
      </c>
      <c r="C178" s="310">
        <f>$C$165*(E87)</f>
        <v>101</v>
      </c>
      <c r="D178" s="313"/>
      <c r="E178" s="300">
        <f>C178*D178</f>
        <v>0</v>
      </c>
      <c r="F178" s="43"/>
      <c r="G178" s="17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314" t="str">
        <f>+A170</f>
        <v>1.5. Operador de Máquina Rodoviária (Minicarregadeira e Trator Capinadeira)</v>
      </c>
      <c r="B179" s="294" t="s">
        <v>255</v>
      </c>
      <c r="C179" s="310">
        <f>$C$165*(E88)</f>
        <v>202</v>
      </c>
      <c r="D179" s="313"/>
      <c r="E179" s="300">
        <f>C179*D179</f>
        <v>0</v>
      </c>
      <c r="F179" s="43"/>
      <c r="G179" s="3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7"/>
      <c r="E180" s="17"/>
      <c r="F180" s="312">
        <f>SUM(E175:E179)</f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7"/>
      <c r="E181" s="17"/>
      <c r="F181" s="1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 t="s">
        <v>256</v>
      </c>
      <c r="B182" s="15"/>
      <c r="C182" s="15"/>
      <c r="D182" s="17"/>
      <c r="E182" s="17"/>
      <c r="F182" s="43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284" t="s">
        <v>227</v>
      </c>
      <c r="B183" s="285" t="s">
        <v>98</v>
      </c>
      <c r="C183" s="285" t="s">
        <v>55</v>
      </c>
      <c r="D183" s="286" t="s">
        <v>228</v>
      </c>
      <c r="E183" s="286" t="s">
        <v>229</v>
      </c>
      <c r="F183" s="287" t="s">
        <v>230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293" t="str">
        <f>+A175</f>
        <v>1.1. Operários/Agentes de Limpeza</v>
      </c>
      <c r="B184" s="294" t="s">
        <v>255</v>
      </c>
      <c r="C184" s="310">
        <f>E84</f>
        <v>80</v>
      </c>
      <c r="D184" s="313">
        <v>0</v>
      </c>
      <c r="E184" s="300">
        <f>C184*D184</f>
        <v>0</v>
      </c>
      <c r="F184" s="43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293" t="str">
        <f>+A176</f>
        <v>1.2. Encarregado de Equipe</v>
      </c>
      <c r="B185" s="294" t="s">
        <v>255</v>
      </c>
      <c r="C185" s="310">
        <f>E85</f>
        <v>4</v>
      </c>
      <c r="D185" s="313">
        <v>0</v>
      </c>
      <c r="E185" s="300">
        <f>C185*D185</f>
        <v>0</v>
      </c>
      <c r="F185" s="43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293" t="str">
        <f>+A177</f>
        <v>1.3. Motorista Caminhão</v>
      </c>
      <c r="B186" s="294" t="s">
        <v>255</v>
      </c>
      <c r="C186" s="310">
        <f>E86</f>
        <v>8</v>
      </c>
      <c r="D186" s="313"/>
      <c r="E186" s="300">
        <f>C186*D186</f>
        <v>0</v>
      </c>
      <c r="F186" s="43"/>
      <c r="G186" s="288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293" t="str">
        <f>+A178</f>
        <v>1.4. Motorista Ônibus Urbano</v>
      </c>
      <c r="B187" s="294" t="s">
        <v>255</v>
      </c>
      <c r="C187" s="310">
        <f>E87</f>
        <v>4</v>
      </c>
      <c r="D187" s="313">
        <v>0</v>
      </c>
      <c r="E187" s="300">
        <f>C187*D187</f>
        <v>0</v>
      </c>
      <c r="F187" s="43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314" t="str">
        <f>+A179</f>
        <v>1.5. Operador de Máquina Rodoviária (Minicarregadeira e Trator Capinadeira)</v>
      </c>
      <c r="B188" s="294" t="s">
        <v>255</v>
      </c>
      <c r="C188" s="310">
        <f>E88</f>
        <v>8</v>
      </c>
      <c r="D188" s="313"/>
      <c r="E188" s="300">
        <f>C188*D188</f>
        <v>0</v>
      </c>
      <c r="F188" s="43"/>
      <c r="G188" s="3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205" t="s">
        <v>239</v>
      </c>
      <c r="E189" s="300">
        <f>$B$101</f>
        <v>1</v>
      </c>
      <c r="F189" s="312">
        <f>SUM(E184:E188)*E189</f>
        <v>0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7"/>
      <c r="E190" s="17"/>
      <c r="F190" s="1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316" t="s">
        <v>257</v>
      </c>
      <c r="B191" s="317"/>
      <c r="C191" s="317"/>
      <c r="D191" s="257"/>
      <c r="E191" s="318"/>
      <c r="F191" s="312">
        <f>F113+F123+F135+F147+F159+F171+F180+F189</f>
        <v>0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7"/>
      <c r="E192" s="17"/>
      <c r="F192" s="17"/>
      <c r="G192" s="17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44" t="s">
        <v>258</v>
      </c>
      <c r="B193" s="15"/>
      <c r="C193" s="15"/>
      <c r="D193" s="17"/>
      <c r="E193" s="17"/>
      <c r="F193" s="1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1.25" customHeight="1" x14ac:dyDescent="0.25">
      <c r="A194" s="15"/>
      <c r="B194" s="15"/>
      <c r="C194" s="15"/>
      <c r="D194" s="17"/>
      <c r="E194" s="17"/>
      <c r="F194" s="1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3.5" customHeight="1" x14ac:dyDescent="0.25">
      <c r="A195" s="15" t="s">
        <v>259</v>
      </c>
      <c r="B195" s="15"/>
      <c r="C195" s="15"/>
      <c r="D195" s="17"/>
      <c r="E195" s="17"/>
      <c r="F195" s="1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1.25" customHeight="1" x14ac:dyDescent="0.25">
      <c r="A196" s="15"/>
      <c r="B196" s="15"/>
      <c r="C196" s="15"/>
      <c r="D196" s="17"/>
      <c r="E196" s="17"/>
      <c r="F196" s="17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7.75" customHeight="1" x14ac:dyDescent="0.25">
      <c r="A197" s="284" t="s">
        <v>227</v>
      </c>
      <c r="B197" s="285" t="s">
        <v>98</v>
      </c>
      <c r="C197" s="319" t="s">
        <v>260</v>
      </c>
      <c r="D197" s="286" t="s">
        <v>228</v>
      </c>
      <c r="E197" s="286" t="s">
        <v>229</v>
      </c>
      <c r="F197" s="287" t="s">
        <v>230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320" t="s">
        <v>134</v>
      </c>
      <c r="B198" s="290" t="s">
        <v>255</v>
      </c>
      <c r="C198" s="321">
        <f>12/'0. Qtdades e Custos'!C106</f>
        <v>12</v>
      </c>
      <c r="D198" s="291">
        <f>VLOOKUP(A198,'0. Qtdades e Custos'!$B$198:$F$212,4,0)</f>
        <v>0</v>
      </c>
      <c r="E198" s="292">
        <f t="shared" ref="E198:E210" si="2">IFERROR(D198/C198,0)</f>
        <v>0</v>
      </c>
      <c r="F198" s="1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320" t="s">
        <v>135</v>
      </c>
      <c r="B199" s="294" t="s">
        <v>255</v>
      </c>
      <c r="C199" s="321">
        <f>12/'0. Qtdades e Custos'!C107</f>
        <v>2</v>
      </c>
      <c r="D199" s="291">
        <f>VLOOKUP(A199,'0. Qtdades e Custos'!$B$198:$F$212,4,0)</f>
        <v>0</v>
      </c>
      <c r="E199" s="292">
        <f t="shared" si="2"/>
        <v>0</v>
      </c>
      <c r="F199" s="17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320" t="s">
        <v>136</v>
      </c>
      <c r="B200" s="294" t="s">
        <v>255</v>
      </c>
      <c r="C200" s="321">
        <f>12/'0. Qtdades e Custos'!C108</f>
        <v>2</v>
      </c>
      <c r="D200" s="291">
        <f>VLOOKUP(A200,'0. Qtdades e Custos'!$B$198:$F$212,4,0)</f>
        <v>0</v>
      </c>
      <c r="E200" s="292">
        <f t="shared" si="2"/>
        <v>0</v>
      </c>
      <c r="F200" s="1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320" t="s">
        <v>137</v>
      </c>
      <c r="B201" s="294" t="s">
        <v>255</v>
      </c>
      <c r="C201" s="321">
        <f>12/'0. Qtdades e Custos'!C109</f>
        <v>2</v>
      </c>
      <c r="D201" s="291">
        <f>VLOOKUP(A201,'0. Qtdades e Custos'!$B$198:$F$212,4,0)</f>
        <v>0</v>
      </c>
      <c r="E201" s="292">
        <f t="shared" si="2"/>
        <v>0</v>
      </c>
      <c r="F201" s="1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320" t="s">
        <v>138</v>
      </c>
      <c r="B202" s="294" t="s">
        <v>255</v>
      </c>
      <c r="C202" s="321">
        <f>12/'0. Qtdades e Custos'!C110</f>
        <v>4</v>
      </c>
      <c r="D202" s="291">
        <f>VLOOKUP(A202,'0. Qtdades e Custos'!$B$198:$F$212,4,0)</f>
        <v>0</v>
      </c>
      <c r="E202" s="292">
        <f t="shared" si="2"/>
        <v>0</v>
      </c>
      <c r="F202" s="17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320" t="s">
        <v>139</v>
      </c>
      <c r="B203" s="294" t="s">
        <v>255</v>
      </c>
      <c r="C203" s="321">
        <f>12/'0. Qtdades e Custos'!C111</f>
        <v>4</v>
      </c>
      <c r="D203" s="291">
        <f>VLOOKUP(A203,'0. Qtdades e Custos'!$B$198:$F$212,4,0)</f>
        <v>0</v>
      </c>
      <c r="E203" s="292">
        <f t="shared" si="2"/>
        <v>0</v>
      </c>
      <c r="F203" s="17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320" t="s">
        <v>140</v>
      </c>
      <c r="B204" s="294" t="s">
        <v>255</v>
      </c>
      <c r="C204" s="321">
        <f>12/'0. Qtdades e Custos'!C112</f>
        <v>1</v>
      </c>
      <c r="D204" s="291">
        <f>VLOOKUP(A204,'0. Qtdades e Custos'!$B$198:$F$212,4,0)</f>
        <v>0</v>
      </c>
      <c r="E204" s="292">
        <f t="shared" si="2"/>
        <v>0</v>
      </c>
      <c r="F204" s="17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320" t="s">
        <v>141</v>
      </c>
      <c r="B205" s="294" t="s">
        <v>255</v>
      </c>
      <c r="C205" s="321">
        <f>12/'0. Qtdades e Custos'!C113</f>
        <v>4</v>
      </c>
      <c r="D205" s="291">
        <f>VLOOKUP(A205,'0. Qtdades e Custos'!$B$198:$F$212,4,0)</f>
        <v>0</v>
      </c>
      <c r="E205" s="292">
        <f t="shared" si="2"/>
        <v>0</v>
      </c>
      <c r="F205" s="17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320" t="s">
        <v>142</v>
      </c>
      <c r="B206" s="294" t="s">
        <v>255</v>
      </c>
      <c r="C206" s="321">
        <f>12/'0. Qtdades e Custos'!C114</f>
        <v>4</v>
      </c>
      <c r="D206" s="291">
        <f>VLOOKUP(A206,'0. Qtdades e Custos'!$B$198:$F$212,4,0)</f>
        <v>0</v>
      </c>
      <c r="E206" s="292">
        <f t="shared" si="2"/>
        <v>0</v>
      </c>
      <c r="F206" s="17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3.5" customHeight="1" x14ac:dyDescent="0.25">
      <c r="A207" s="320" t="s">
        <v>143</v>
      </c>
      <c r="B207" s="294" t="s">
        <v>171</v>
      </c>
      <c r="C207" s="321">
        <f>12/'0. Qtdades e Custos'!C115</f>
        <v>0.5</v>
      </c>
      <c r="D207" s="291">
        <f>VLOOKUP(A207,'0. Qtdades e Custos'!$B$198:$F$212,4,0)</f>
        <v>0</v>
      </c>
      <c r="E207" s="292">
        <f t="shared" si="2"/>
        <v>0</v>
      </c>
      <c r="F207" s="17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320" t="s">
        <v>144</v>
      </c>
      <c r="B208" s="294" t="s">
        <v>255</v>
      </c>
      <c r="C208" s="321">
        <f>12/'0. Qtdades e Custos'!C116</f>
        <v>1.3333333333333333</v>
      </c>
      <c r="D208" s="291">
        <f>VLOOKUP(A208,'0. Qtdades e Custos'!$B$198:$F$212,4,0)</f>
        <v>0</v>
      </c>
      <c r="E208" s="292">
        <f t="shared" si="2"/>
        <v>0</v>
      </c>
      <c r="F208" s="17"/>
      <c r="G208" s="17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320" t="s">
        <v>145</v>
      </c>
      <c r="B209" s="294" t="s">
        <v>171</v>
      </c>
      <c r="C209" s="321">
        <f>12/'0. Qtdades e Custos'!C117</f>
        <v>2</v>
      </c>
      <c r="D209" s="291">
        <f>VLOOKUP(A209,'0. Qtdades e Custos'!$B$198:$F$212,4,0)</f>
        <v>0</v>
      </c>
      <c r="E209" s="292">
        <f t="shared" si="2"/>
        <v>0</v>
      </c>
      <c r="F209" s="17"/>
      <c r="G209" s="17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320" t="s">
        <v>146</v>
      </c>
      <c r="B210" s="322" t="s">
        <v>171</v>
      </c>
      <c r="C210" s="321">
        <f>12/'0. Qtdades e Custos'!C118</f>
        <v>6</v>
      </c>
      <c r="D210" s="291">
        <f>VLOOKUP(A210,'0. Qtdades e Custos'!$B$198:$F$212,4,0)</f>
        <v>0</v>
      </c>
      <c r="E210" s="292">
        <f t="shared" si="2"/>
        <v>0</v>
      </c>
      <c r="F210" s="199"/>
      <c r="G210" s="199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12.75" customHeight="1" x14ac:dyDescent="0.25">
      <c r="A211" s="293" t="s">
        <v>237</v>
      </c>
      <c r="B211" s="294" t="s">
        <v>238</v>
      </c>
      <c r="C211" s="323">
        <f>E84</f>
        <v>80</v>
      </c>
      <c r="D211" s="295">
        <f>+SUM(E198:E210)</f>
        <v>0</v>
      </c>
      <c r="E211" s="295">
        <f>C211*D211</f>
        <v>0</v>
      </c>
      <c r="F211" s="17"/>
      <c r="G211" s="17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205" t="s">
        <v>239</v>
      </c>
      <c r="E212" s="300">
        <f>$B$101</f>
        <v>1</v>
      </c>
      <c r="F212" s="301">
        <f>E211*E212</f>
        <v>0</v>
      </c>
      <c r="G212" s="17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1.25" customHeight="1" x14ac:dyDescent="0.25">
      <c r="A213" s="15"/>
      <c r="B213" s="15"/>
      <c r="C213" s="15"/>
      <c r="D213" s="17"/>
      <c r="E213" s="17"/>
      <c r="F213" s="17"/>
      <c r="G213" s="17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1.25" customHeight="1" x14ac:dyDescent="0.25">
      <c r="A214" s="15" t="s">
        <v>261</v>
      </c>
      <c r="B214" s="15"/>
      <c r="C214" s="15"/>
      <c r="D214" s="17"/>
      <c r="E214" s="17"/>
      <c r="F214" s="17"/>
      <c r="G214" s="17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1.25" customHeight="1" x14ac:dyDescent="0.25">
      <c r="A215" s="15"/>
      <c r="B215" s="15"/>
      <c r="C215" s="15"/>
      <c r="D215" s="17"/>
      <c r="E215" s="17"/>
      <c r="F215" s="17"/>
      <c r="G215" s="17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1.25" customHeight="1" x14ac:dyDescent="0.25">
      <c r="A216" s="284" t="s">
        <v>227</v>
      </c>
      <c r="B216" s="285" t="s">
        <v>98</v>
      </c>
      <c r="C216" s="319" t="s">
        <v>260</v>
      </c>
      <c r="D216" s="286" t="s">
        <v>228</v>
      </c>
      <c r="E216" s="286" t="s">
        <v>229</v>
      </c>
      <c r="F216" s="287" t="s">
        <v>230</v>
      </c>
      <c r="G216" s="17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1.25" customHeight="1" x14ac:dyDescent="0.25">
      <c r="A217" s="289" t="s">
        <v>134</v>
      </c>
      <c r="B217" s="290" t="s">
        <v>255</v>
      </c>
      <c r="C217" s="321">
        <f>12/'0. Qtdades e Custos'!J106</f>
        <v>12</v>
      </c>
      <c r="D217" s="291">
        <f>VLOOKUP(A217,'0. Qtdades e Custos'!$B$198:$F$212,4,0)</f>
        <v>0</v>
      </c>
      <c r="E217" s="292">
        <f t="shared" ref="E217:E226" si="3">IFERROR(D217/C217,0)</f>
        <v>0</v>
      </c>
      <c r="F217" s="17"/>
      <c r="G217" s="17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1.25" customHeight="1" x14ac:dyDescent="0.25">
      <c r="A218" s="289" t="s">
        <v>135</v>
      </c>
      <c r="B218" s="294" t="s">
        <v>255</v>
      </c>
      <c r="C218" s="321">
        <f>12/'0. Qtdades e Custos'!J107</f>
        <v>2</v>
      </c>
      <c r="D218" s="291">
        <f>VLOOKUP(A218,'0. Qtdades e Custos'!$B$198:$F$212,4,0)</f>
        <v>0</v>
      </c>
      <c r="E218" s="292">
        <f t="shared" si="3"/>
        <v>0</v>
      </c>
      <c r="F218" s="17"/>
      <c r="G218" s="17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1.25" customHeight="1" x14ac:dyDescent="0.25">
      <c r="A219" s="320" t="s">
        <v>136</v>
      </c>
      <c r="B219" s="294" t="s">
        <v>255</v>
      </c>
      <c r="C219" s="321">
        <f>12/'0. Qtdades e Custos'!J108</f>
        <v>2</v>
      </c>
      <c r="D219" s="291">
        <f>VLOOKUP(A219,'0. Qtdades e Custos'!$B$198:$F$212,4,0)</f>
        <v>0</v>
      </c>
      <c r="E219" s="292">
        <f t="shared" si="3"/>
        <v>0</v>
      </c>
      <c r="F219" s="17"/>
      <c r="G219" s="17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1.25" customHeight="1" x14ac:dyDescent="0.25">
      <c r="A220" s="320" t="s">
        <v>137</v>
      </c>
      <c r="B220" s="294" t="s">
        <v>255</v>
      </c>
      <c r="C220" s="321">
        <f>12/'0. Qtdades e Custos'!J109</f>
        <v>2</v>
      </c>
      <c r="D220" s="291">
        <f>VLOOKUP(A220,'0. Qtdades e Custos'!$B$198:$F$212,4,0)</f>
        <v>0</v>
      </c>
      <c r="E220" s="292">
        <f t="shared" si="3"/>
        <v>0</v>
      </c>
      <c r="F220" s="17"/>
      <c r="G220" s="17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1.25" customHeight="1" x14ac:dyDescent="0.25">
      <c r="A221" s="289" t="s">
        <v>138</v>
      </c>
      <c r="B221" s="294" t="s">
        <v>255</v>
      </c>
      <c r="C221" s="321">
        <f>12/'0. Qtdades e Custos'!J110</f>
        <v>4</v>
      </c>
      <c r="D221" s="291">
        <f>VLOOKUP(A221,'0. Qtdades e Custos'!$B$198:$F$212,4,0)</f>
        <v>0</v>
      </c>
      <c r="E221" s="292">
        <f t="shared" si="3"/>
        <v>0</v>
      </c>
      <c r="F221" s="17"/>
      <c r="G221" s="17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1.25" customHeight="1" x14ac:dyDescent="0.25">
      <c r="A222" s="289" t="s">
        <v>139</v>
      </c>
      <c r="B222" s="294" t="s">
        <v>255</v>
      </c>
      <c r="C222" s="321">
        <f>12/'0. Qtdades e Custos'!J111</f>
        <v>4</v>
      </c>
      <c r="D222" s="291">
        <f>VLOOKUP(A222,'0. Qtdades e Custos'!$B$198:$F$212,4,0)</f>
        <v>0</v>
      </c>
      <c r="E222" s="292">
        <f t="shared" si="3"/>
        <v>0</v>
      </c>
      <c r="F222" s="17"/>
      <c r="G222" s="17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1.25" customHeight="1" x14ac:dyDescent="0.25">
      <c r="A223" s="293" t="s">
        <v>141</v>
      </c>
      <c r="B223" s="294" t="s">
        <v>255</v>
      </c>
      <c r="C223" s="321">
        <f>12/'0. Qtdades e Custos'!J113</f>
        <v>4</v>
      </c>
      <c r="D223" s="291">
        <f>VLOOKUP(A223,'0. Qtdades e Custos'!$B$198:$F$212,4,0)</f>
        <v>0</v>
      </c>
      <c r="E223" s="292">
        <f t="shared" si="3"/>
        <v>0</v>
      </c>
      <c r="F223" s="17"/>
      <c r="G223" s="17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1.25" customHeight="1" x14ac:dyDescent="0.25">
      <c r="A224" s="293" t="s">
        <v>142</v>
      </c>
      <c r="B224" s="294" t="s">
        <v>255</v>
      </c>
      <c r="C224" s="321">
        <f>12/'0. Qtdades e Custos'!J114</f>
        <v>4</v>
      </c>
      <c r="D224" s="291">
        <f>VLOOKUP(A224,'0. Qtdades e Custos'!$B$198:$F$212,4,0)</f>
        <v>0</v>
      </c>
      <c r="E224" s="292">
        <f t="shared" si="3"/>
        <v>0</v>
      </c>
      <c r="F224" s="17"/>
      <c r="G224" s="17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1.25" customHeight="1" x14ac:dyDescent="0.25">
      <c r="A225" s="293" t="s">
        <v>144</v>
      </c>
      <c r="B225" s="294" t="s">
        <v>255</v>
      </c>
      <c r="C225" s="321">
        <f>12/'0. Qtdades e Custos'!J116</f>
        <v>1.3333333333333333</v>
      </c>
      <c r="D225" s="291">
        <f>VLOOKUP(A225,'0. Qtdades e Custos'!$B$198:$F$212,4,0)</f>
        <v>0</v>
      </c>
      <c r="E225" s="292">
        <f t="shared" si="3"/>
        <v>0</v>
      </c>
      <c r="F225" s="17"/>
      <c r="G225" s="17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1.25" customHeight="1" x14ac:dyDescent="0.25">
      <c r="A226" s="293" t="s">
        <v>145</v>
      </c>
      <c r="B226" s="294" t="s">
        <v>171</v>
      </c>
      <c r="C226" s="321">
        <f>12/'0. Qtdades e Custos'!J117</f>
        <v>2</v>
      </c>
      <c r="D226" s="291">
        <f>VLOOKUP(A226,'0. Qtdades e Custos'!$B$198:$F$212,4,0)</f>
        <v>0</v>
      </c>
      <c r="E226" s="292">
        <f t="shared" si="3"/>
        <v>0</v>
      </c>
      <c r="F226" s="17"/>
      <c r="G226" s="17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1.25" customHeight="1" x14ac:dyDescent="0.25">
      <c r="A227" s="293" t="s">
        <v>237</v>
      </c>
      <c r="B227" s="294" t="s">
        <v>238</v>
      </c>
      <c r="C227" s="323">
        <f>E85</f>
        <v>4</v>
      </c>
      <c r="D227" s="295">
        <f>+SUM(E217:E226)</f>
        <v>0</v>
      </c>
      <c r="E227" s="295">
        <f>C227*D227</f>
        <v>0</v>
      </c>
      <c r="F227" s="17"/>
      <c r="G227" s="17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1.25" customHeight="1" x14ac:dyDescent="0.25">
      <c r="A228" s="15"/>
      <c r="B228" s="15"/>
      <c r="C228" s="15"/>
      <c r="D228" s="205" t="s">
        <v>239</v>
      </c>
      <c r="E228" s="300">
        <f>$B$101</f>
        <v>1</v>
      </c>
      <c r="F228" s="301">
        <f>E227*E228</f>
        <v>0</v>
      </c>
      <c r="G228" s="17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1.25" customHeight="1" x14ac:dyDescent="0.25">
      <c r="A229" s="15"/>
      <c r="B229" s="15"/>
      <c r="C229" s="15"/>
      <c r="D229" s="17"/>
      <c r="E229" s="17"/>
      <c r="F229" s="17"/>
      <c r="G229" s="17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3.5" customHeight="1" x14ac:dyDescent="0.25">
      <c r="A230" s="15" t="s">
        <v>262</v>
      </c>
      <c r="B230" s="15"/>
      <c r="C230" s="15"/>
      <c r="D230" s="17"/>
      <c r="E230" s="17"/>
      <c r="F230" s="17"/>
      <c r="G230" s="17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1.25" customHeight="1" x14ac:dyDescent="0.25">
      <c r="A231" s="15"/>
      <c r="B231" s="15"/>
      <c r="C231" s="15"/>
      <c r="D231" s="17"/>
      <c r="E231" s="17"/>
      <c r="F231" s="17"/>
      <c r="G231" s="17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284" t="s">
        <v>227</v>
      </c>
      <c r="B232" s="285" t="s">
        <v>98</v>
      </c>
      <c r="C232" s="319" t="s">
        <v>260</v>
      </c>
      <c r="D232" s="286" t="s">
        <v>228</v>
      </c>
      <c r="E232" s="286" t="s">
        <v>229</v>
      </c>
      <c r="F232" s="287" t="s">
        <v>230</v>
      </c>
      <c r="G232" s="17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289" t="s">
        <v>134</v>
      </c>
      <c r="B233" s="290" t="s">
        <v>255</v>
      </c>
      <c r="C233" s="321">
        <f>12/'0. Qtdades e Custos'!F106</f>
        <v>12</v>
      </c>
      <c r="D233" s="291">
        <f>VLOOKUP(A233,'0. Qtdades e Custos'!$B$198:$F$212,4,0)</f>
        <v>0</v>
      </c>
      <c r="E233" s="292">
        <f t="shared" ref="E233:E238" si="4">IFERROR(D233/C233,0)</f>
        <v>0</v>
      </c>
      <c r="F233" s="17"/>
      <c r="G233" s="17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293" t="s">
        <v>135</v>
      </c>
      <c r="B234" s="294" t="s">
        <v>255</v>
      </c>
      <c r="C234" s="321">
        <f>12/'0. Qtdades e Custos'!F107</f>
        <v>2</v>
      </c>
      <c r="D234" s="291">
        <f>VLOOKUP(A234,'0. Qtdades e Custos'!$B$198:$F$212,4,0)</f>
        <v>0</v>
      </c>
      <c r="E234" s="292">
        <f t="shared" si="4"/>
        <v>0</v>
      </c>
      <c r="F234" s="17"/>
      <c r="G234" s="17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314" t="s">
        <v>136</v>
      </c>
      <c r="B235" s="294" t="s">
        <v>255</v>
      </c>
      <c r="C235" s="321">
        <f>12/'0. Qtdades e Custos'!F108</f>
        <v>2</v>
      </c>
      <c r="D235" s="291">
        <f>VLOOKUP(A235,'0. Qtdades e Custos'!$B$198:$F$212,4,0)</f>
        <v>0</v>
      </c>
      <c r="E235" s="292">
        <f t="shared" si="4"/>
        <v>0</v>
      </c>
      <c r="F235" s="17"/>
      <c r="G235" s="17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314" t="s">
        <v>137</v>
      </c>
      <c r="B236" s="294" t="s">
        <v>255</v>
      </c>
      <c r="C236" s="321">
        <f>12/'0. Qtdades e Custos'!F109</f>
        <v>2</v>
      </c>
      <c r="D236" s="291">
        <f>VLOOKUP(A236,'0. Qtdades e Custos'!$B$198:$F$212,4,0)</f>
        <v>0</v>
      </c>
      <c r="E236" s="292">
        <f t="shared" si="4"/>
        <v>0</v>
      </c>
      <c r="F236" s="17"/>
      <c r="G236" s="17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293" t="s">
        <v>139</v>
      </c>
      <c r="B237" s="294" t="s">
        <v>255</v>
      </c>
      <c r="C237" s="321">
        <f>12/'0. Qtdades e Custos'!F111</f>
        <v>12</v>
      </c>
      <c r="D237" s="291">
        <f>VLOOKUP(A237,'0. Qtdades e Custos'!$B$198:$F$212,4,0)</f>
        <v>0</v>
      </c>
      <c r="E237" s="292">
        <f t="shared" si="4"/>
        <v>0</v>
      </c>
      <c r="F237" s="17"/>
      <c r="G237" s="17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293" t="s">
        <v>145</v>
      </c>
      <c r="B238" s="294" t="s">
        <v>171</v>
      </c>
      <c r="C238" s="321">
        <f>12/'0. Qtdades e Custos'!F117</f>
        <v>2</v>
      </c>
      <c r="D238" s="291">
        <f>VLOOKUP(A238,'0. Qtdades e Custos'!$B$198:$F$212,4,0)</f>
        <v>0</v>
      </c>
      <c r="E238" s="292">
        <f t="shared" si="4"/>
        <v>0</v>
      </c>
      <c r="F238" s="17"/>
      <c r="G238" s="17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293" t="s">
        <v>237</v>
      </c>
      <c r="B239" s="294" t="s">
        <v>238</v>
      </c>
      <c r="C239" s="323">
        <f>E86</f>
        <v>8</v>
      </c>
      <c r="D239" s="295">
        <f>+SUM(E233:E238)</f>
        <v>0</v>
      </c>
      <c r="E239" s="295">
        <f>C239*D239</f>
        <v>0</v>
      </c>
      <c r="F239" s="17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205" t="s">
        <v>239</v>
      </c>
      <c r="E240" s="300">
        <f>$B$101</f>
        <v>1</v>
      </c>
      <c r="F240" s="301">
        <f>E239*E240</f>
        <v>0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1.25" customHeight="1" x14ac:dyDescent="0.25">
      <c r="A241" s="15"/>
      <c r="B241" s="15"/>
      <c r="C241" s="15"/>
      <c r="D241" s="17"/>
      <c r="E241" s="17"/>
      <c r="F241" s="17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1.25" customHeight="1" x14ac:dyDescent="0.25">
      <c r="A242" s="15" t="s">
        <v>263</v>
      </c>
      <c r="B242" s="15"/>
      <c r="C242" s="15"/>
      <c r="D242" s="17"/>
      <c r="E242" s="17"/>
      <c r="F242" s="17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1.25" customHeight="1" x14ac:dyDescent="0.25">
      <c r="A243" s="15"/>
      <c r="B243" s="15"/>
      <c r="C243" s="15"/>
      <c r="D243" s="17"/>
      <c r="E243" s="17"/>
      <c r="F243" s="17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3.25" customHeight="1" x14ac:dyDescent="0.25">
      <c r="A244" s="284" t="s">
        <v>227</v>
      </c>
      <c r="B244" s="285" t="s">
        <v>98</v>
      </c>
      <c r="C244" s="319" t="s">
        <v>260</v>
      </c>
      <c r="D244" s="286" t="s">
        <v>228</v>
      </c>
      <c r="E244" s="286" t="s">
        <v>229</v>
      </c>
      <c r="F244" s="287" t="s">
        <v>230</v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1.25" customHeight="1" x14ac:dyDescent="0.25">
      <c r="A245" s="320" t="s">
        <v>134</v>
      </c>
      <c r="B245" s="290" t="s">
        <v>255</v>
      </c>
      <c r="C245" s="321">
        <f>12/'0. Qtdades e Custos'!H106</f>
        <v>12</v>
      </c>
      <c r="D245" s="291">
        <f>VLOOKUP(A245,'0. Qtdades e Custos'!$B$198:$F$212,4,0)</f>
        <v>0</v>
      </c>
      <c r="E245" s="292">
        <f t="shared" ref="E245:E250" si="5">IFERROR(D245/C245,0)</f>
        <v>0</v>
      </c>
      <c r="F245" s="1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1.25" customHeight="1" x14ac:dyDescent="0.25">
      <c r="A246" s="314" t="s">
        <v>135</v>
      </c>
      <c r="B246" s="294" t="s">
        <v>255</v>
      </c>
      <c r="C246" s="321">
        <f>12/'0. Qtdades e Custos'!H107</f>
        <v>2</v>
      </c>
      <c r="D246" s="291">
        <f>VLOOKUP(A246,'0. Qtdades e Custos'!$B$198:$F$212,4,0)</f>
        <v>0</v>
      </c>
      <c r="E246" s="292">
        <f t="shared" si="5"/>
        <v>0</v>
      </c>
      <c r="F246" s="17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314" t="s">
        <v>136</v>
      </c>
      <c r="B247" s="294" t="s">
        <v>255</v>
      </c>
      <c r="C247" s="321">
        <f>12/'0. Qtdades e Custos'!H108</f>
        <v>2</v>
      </c>
      <c r="D247" s="291">
        <f>VLOOKUP(A247,'0. Qtdades e Custos'!$B$198:$F$212,4,0)</f>
        <v>0</v>
      </c>
      <c r="E247" s="292">
        <f t="shared" si="5"/>
        <v>0</v>
      </c>
      <c r="F247" s="17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314" t="s">
        <v>137</v>
      </c>
      <c r="B248" s="294" t="s">
        <v>255</v>
      </c>
      <c r="C248" s="321">
        <f>12/'0. Qtdades e Custos'!H109</f>
        <v>2</v>
      </c>
      <c r="D248" s="291">
        <f>VLOOKUP(A248,'0. Qtdades e Custos'!$B$198:$F$212,4,0)</f>
        <v>0</v>
      </c>
      <c r="E248" s="292">
        <f t="shared" si="5"/>
        <v>0</v>
      </c>
      <c r="F248" s="17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1.25" customHeight="1" x14ac:dyDescent="0.25">
      <c r="A249" s="314" t="s">
        <v>139</v>
      </c>
      <c r="B249" s="294" t="s">
        <v>255</v>
      </c>
      <c r="C249" s="321">
        <f>12/'0. Qtdades e Custos'!H111</f>
        <v>12</v>
      </c>
      <c r="D249" s="291">
        <f>VLOOKUP(A249,'0. Qtdades e Custos'!$B$198:$F$212,4,0)</f>
        <v>0</v>
      </c>
      <c r="E249" s="292">
        <f t="shared" si="5"/>
        <v>0</v>
      </c>
      <c r="F249" s="17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1.25" customHeight="1" x14ac:dyDescent="0.25">
      <c r="A250" s="314" t="s">
        <v>145</v>
      </c>
      <c r="B250" s="294" t="s">
        <v>171</v>
      </c>
      <c r="C250" s="321">
        <f>12/'0. Qtdades e Custos'!H117</f>
        <v>2</v>
      </c>
      <c r="D250" s="291">
        <f>VLOOKUP(A250,'0. Qtdades e Custos'!$B$198:$F$212,4,0)</f>
        <v>0</v>
      </c>
      <c r="E250" s="292">
        <f t="shared" si="5"/>
        <v>0</v>
      </c>
      <c r="F250" s="17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1.25" customHeight="1" x14ac:dyDescent="0.25">
      <c r="A251" s="293" t="s">
        <v>237</v>
      </c>
      <c r="B251" s="294" t="s">
        <v>238</v>
      </c>
      <c r="C251" s="323">
        <f>E87</f>
        <v>4</v>
      </c>
      <c r="D251" s="295">
        <f>+SUM(E245:E250)</f>
        <v>0</v>
      </c>
      <c r="E251" s="295">
        <f>C251*D251</f>
        <v>0</v>
      </c>
      <c r="F251" s="17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1.25" customHeight="1" x14ac:dyDescent="0.25">
      <c r="A252" s="15"/>
      <c r="B252" s="15"/>
      <c r="C252" s="15"/>
      <c r="D252" s="205" t="s">
        <v>239</v>
      </c>
      <c r="E252" s="300">
        <f>$B$101</f>
        <v>1</v>
      </c>
      <c r="F252" s="301">
        <f>E251*E252</f>
        <v>0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1.25" customHeight="1" x14ac:dyDescent="0.25">
      <c r="A253" s="15"/>
      <c r="B253" s="15"/>
      <c r="C253" s="15"/>
      <c r="D253" s="17"/>
      <c r="E253" s="17"/>
      <c r="F253" s="17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1.25" customHeight="1" x14ac:dyDescent="0.25">
      <c r="A254" s="15" t="s">
        <v>264</v>
      </c>
      <c r="B254" s="15"/>
      <c r="C254" s="15"/>
      <c r="D254" s="17"/>
      <c r="E254" s="17"/>
      <c r="F254" s="1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1.25" customHeight="1" x14ac:dyDescent="0.25">
      <c r="A255" s="15"/>
      <c r="B255" s="15"/>
      <c r="C255" s="15"/>
      <c r="D255" s="17"/>
      <c r="E255" s="17"/>
      <c r="F255" s="1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2.5" customHeight="1" x14ac:dyDescent="0.25">
      <c r="A256" s="284" t="s">
        <v>227</v>
      </c>
      <c r="B256" s="285" t="s">
        <v>98</v>
      </c>
      <c r="C256" s="319" t="s">
        <v>260</v>
      </c>
      <c r="D256" s="286" t="s">
        <v>228</v>
      </c>
      <c r="E256" s="286" t="s">
        <v>229</v>
      </c>
      <c r="F256" s="287" t="s">
        <v>230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1.25" customHeight="1" x14ac:dyDescent="0.25">
      <c r="A257" s="289" t="s">
        <v>134</v>
      </c>
      <c r="B257" s="290" t="s">
        <v>255</v>
      </c>
      <c r="C257" s="321">
        <f>12/'0. Qtdades e Custos'!L106</f>
        <v>12</v>
      </c>
      <c r="D257" s="291">
        <f>VLOOKUP(A257,'0. Qtdades e Custos'!$B$198:$F$212,4,0)</f>
        <v>0</v>
      </c>
      <c r="E257" s="292">
        <f t="shared" ref="E257:E265" si="6">IFERROR(D257/C257,0)</f>
        <v>0</v>
      </c>
      <c r="F257" s="1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1.25" customHeight="1" x14ac:dyDescent="0.25">
      <c r="A258" s="289" t="s">
        <v>135</v>
      </c>
      <c r="B258" s="294" t="s">
        <v>255</v>
      </c>
      <c r="C258" s="321">
        <f>12/'0. Qtdades e Custos'!L107</f>
        <v>2</v>
      </c>
      <c r="D258" s="291">
        <f>VLOOKUP(A258,'0. Qtdades e Custos'!$B$198:$F$212,4,0)</f>
        <v>0</v>
      </c>
      <c r="E258" s="292">
        <f t="shared" si="6"/>
        <v>0</v>
      </c>
      <c r="F258" s="17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314" t="s">
        <v>136</v>
      </c>
      <c r="B259" s="294" t="s">
        <v>255</v>
      </c>
      <c r="C259" s="321">
        <f>12/'0. Qtdades e Custos'!L108</f>
        <v>2</v>
      </c>
      <c r="D259" s="291">
        <f>VLOOKUP(A259,'0. Qtdades e Custos'!$B$198:$F$212,4,0)</f>
        <v>0</v>
      </c>
      <c r="E259" s="292">
        <f t="shared" si="6"/>
        <v>0</v>
      </c>
      <c r="F259" s="1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314" t="s">
        <v>137</v>
      </c>
      <c r="B260" s="294" t="s">
        <v>255</v>
      </c>
      <c r="C260" s="321">
        <f>12/'0. Qtdades e Custos'!L109</f>
        <v>2</v>
      </c>
      <c r="D260" s="291">
        <f>VLOOKUP(A260,'0. Qtdades e Custos'!$B$198:$F$212,4,0)</f>
        <v>0</v>
      </c>
      <c r="E260" s="292">
        <f t="shared" si="6"/>
        <v>0</v>
      </c>
      <c r="F260" s="17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1.25" customHeight="1" x14ac:dyDescent="0.25">
      <c r="A261" s="289" t="s">
        <v>138</v>
      </c>
      <c r="B261" s="294" t="s">
        <v>255</v>
      </c>
      <c r="C261" s="321">
        <f>12/'0. Qtdades e Custos'!L110</f>
        <v>4</v>
      </c>
      <c r="D261" s="291">
        <f>VLOOKUP(A261,'0. Qtdades e Custos'!$B$198:$F$212,4,0)</f>
        <v>0</v>
      </c>
      <c r="E261" s="292">
        <f t="shared" si="6"/>
        <v>0</v>
      </c>
      <c r="F261" s="17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1.25" customHeight="1" x14ac:dyDescent="0.25">
      <c r="A262" s="289" t="s">
        <v>139</v>
      </c>
      <c r="B262" s="294" t="s">
        <v>255</v>
      </c>
      <c r="C262" s="321">
        <f>12/'0. Qtdades e Custos'!L111</f>
        <v>4</v>
      </c>
      <c r="D262" s="291">
        <f>VLOOKUP(A262,'0. Qtdades e Custos'!$B$198:$F$212,4,0)</f>
        <v>0</v>
      </c>
      <c r="E262" s="292">
        <f t="shared" si="6"/>
        <v>0</v>
      </c>
      <c r="F262" s="17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1.25" customHeight="1" x14ac:dyDescent="0.25">
      <c r="A263" s="293" t="s">
        <v>140</v>
      </c>
      <c r="B263" s="294" t="s">
        <v>255</v>
      </c>
      <c r="C263" s="321">
        <f>12/'0. Qtdades e Custos'!L112</f>
        <v>1</v>
      </c>
      <c r="D263" s="291">
        <f>VLOOKUP(A263,'0. Qtdades e Custos'!$B$198:$F$212,4,0)</f>
        <v>0</v>
      </c>
      <c r="E263" s="292">
        <f t="shared" si="6"/>
        <v>0</v>
      </c>
      <c r="F263" s="17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1.25" customHeight="1" x14ac:dyDescent="0.25">
      <c r="A264" s="293" t="s">
        <v>144</v>
      </c>
      <c r="B264" s="294" t="s">
        <v>255</v>
      </c>
      <c r="C264" s="321">
        <f>12/'0. Qtdades e Custos'!L116</f>
        <v>1.3333333333333333</v>
      </c>
      <c r="D264" s="291">
        <f>VLOOKUP(A264,'0. Qtdades e Custos'!$B$198:$F$212,4,0)</f>
        <v>0</v>
      </c>
      <c r="E264" s="292">
        <f t="shared" si="6"/>
        <v>0</v>
      </c>
      <c r="F264" s="17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1.25" customHeight="1" x14ac:dyDescent="0.25">
      <c r="A265" s="293" t="s">
        <v>145</v>
      </c>
      <c r="B265" s="294" t="s">
        <v>171</v>
      </c>
      <c r="C265" s="321">
        <f>12/'0. Qtdades e Custos'!L117</f>
        <v>2</v>
      </c>
      <c r="D265" s="291">
        <f>VLOOKUP(A265,'0. Qtdades e Custos'!$B$198:$F$212,4,0)</f>
        <v>0</v>
      </c>
      <c r="E265" s="292">
        <f t="shared" si="6"/>
        <v>0</v>
      </c>
      <c r="F265" s="17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1.25" customHeight="1" x14ac:dyDescent="0.25">
      <c r="A266" s="293" t="s">
        <v>237</v>
      </c>
      <c r="B266" s="294" t="s">
        <v>238</v>
      </c>
      <c r="C266" s="323">
        <f>E88</f>
        <v>8</v>
      </c>
      <c r="D266" s="295">
        <f>+SUM(E257:E265)</f>
        <v>0</v>
      </c>
      <c r="E266" s="295">
        <f>C266*D266</f>
        <v>0</v>
      </c>
      <c r="F266" s="1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1.25" customHeight="1" x14ac:dyDescent="0.25">
      <c r="A267" s="15"/>
      <c r="B267" s="15"/>
      <c r="C267" s="15"/>
      <c r="D267" s="205" t="s">
        <v>239</v>
      </c>
      <c r="E267" s="300">
        <f>$B$101</f>
        <v>1</v>
      </c>
      <c r="F267" s="301">
        <f>E266*E267</f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1.25" customHeight="1" x14ac:dyDescent="0.25">
      <c r="A268" s="15"/>
      <c r="B268" s="15"/>
      <c r="C268" s="15"/>
      <c r="D268" s="17"/>
      <c r="E268" s="17"/>
      <c r="F268" s="17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316" t="s">
        <v>265</v>
      </c>
      <c r="B269" s="324"/>
      <c r="C269" s="324"/>
      <c r="D269" s="325"/>
      <c r="E269" s="326"/>
      <c r="F269" s="327">
        <f>+F212+F228+F240+F252+F267</f>
        <v>0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1.25" customHeight="1" x14ac:dyDescent="0.25">
      <c r="A270" s="15"/>
      <c r="B270" s="15"/>
      <c r="C270" s="15"/>
      <c r="D270" s="17"/>
      <c r="E270" s="17"/>
      <c r="F270" s="17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44" t="s">
        <v>266</v>
      </c>
      <c r="B271" s="15"/>
      <c r="C271" s="15"/>
      <c r="D271" s="17"/>
      <c r="E271" s="17"/>
      <c r="F271" s="17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1.25" customHeight="1" x14ac:dyDescent="0.25">
      <c r="A272" s="44"/>
      <c r="B272" s="211"/>
      <c r="C272" s="15"/>
      <c r="D272" s="17"/>
      <c r="E272" s="17"/>
      <c r="F272" s="17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601" t="s">
        <v>267</v>
      </c>
      <c r="B273" s="601"/>
      <c r="C273" s="601"/>
      <c r="D273" s="212"/>
      <c r="E273" s="212"/>
      <c r="F273" s="212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1.25" customHeight="1" x14ac:dyDescent="0.25">
      <c r="A274" s="15"/>
      <c r="B274" s="15"/>
      <c r="C274" s="15"/>
      <c r="D274" s="17"/>
      <c r="E274" s="17"/>
      <c r="F274" s="17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211" t="s">
        <v>268</v>
      </c>
      <c r="B275" s="15"/>
      <c r="C275" s="15"/>
      <c r="D275" s="17"/>
      <c r="E275" s="17"/>
      <c r="F275" s="17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284" t="s">
        <v>227</v>
      </c>
      <c r="B276" s="285" t="s">
        <v>98</v>
      </c>
      <c r="C276" s="285" t="s">
        <v>55</v>
      </c>
      <c r="D276" s="286" t="s">
        <v>228</v>
      </c>
      <c r="E276" s="286" t="s">
        <v>229</v>
      </c>
      <c r="F276" s="287" t="s">
        <v>230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289" t="s">
        <v>269</v>
      </c>
      <c r="B277" s="290" t="s">
        <v>255</v>
      </c>
      <c r="C277" s="290">
        <v>1</v>
      </c>
      <c r="D277" s="291">
        <f>'0. Qtdades e Custos'!N57</f>
        <v>0</v>
      </c>
      <c r="E277" s="292">
        <f>C277*D277</f>
        <v>0</v>
      </c>
      <c r="F277" s="17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293" t="s">
        <v>270</v>
      </c>
      <c r="B278" s="294" t="s">
        <v>271</v>
      </c>
      <c r="C278" s="321">
        <f>'0. Qtdades e Custos'!Q57</f>
        <v>7</v>
      </c>
      <c r="D278" s="295"/>
      <c r="E278" s="295"/>
      <c r="F278" s="17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293" t="s">
        <v>272</v>
      </c>
      <c r="B279" s="294" t="s">
        <v>271</v>
      </c>
      <c r="C279" s="299">
        <v>0</v>
      </c>
      <c r="D279" s="295"/>
      <c r="E279" s="295"/>
      <c r="F279" s="142"/>
      <c r="G279" s="17"/>
      <c r="H279" s="15"/>
      <c r="I279" s="213"/>
      <c r="J279" s="213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293" t="s">
        <v>273</v>
      </c>
      <c r="B280" s="294" t="s">
        <v>207</v>
      </c>
      <c r="C280" s="298">
        <f>IFERROR(VLOOKUP(C278,'9. Depreciação'!A3:B17,2,0),0)</f>
        <v>60.29</v>
      </c>
      <c r="D280" s="295">
        <f>E277</f>
        <v>0</v>
      </c>
      <c r="E280" s="295">
        <f>C280*D280/100</f>
        <v>0</v>
      </c>
      <c r="F280" s="17"/>
      <c r="G280" s="17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328" t="s">
        <v>274</v>
      </c>
      <c r="B281" s="329" t="s">
        <v>232</v>
      </c>
      <c r="C281" s="329">
        <f>C278*12</f>
        <v>84</v>
      </c>
      <c r="D281" s="330">
        <f>IF(C279&lt;=C278,E280,0)</f>
        <v>0</v>
      </c>
      <c r="E281" s="330">
        <f>IFERROR(D281/C281,0)</f>
        <v>0</v>
      </c>
      <c r="F281" s="17"/>
      <c r="G281" s="17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296" t="s">
        <v>275</v>
      </c>
      <c r="B282" s="143"/>
      <c r="C282" s="143"/>
      <c r="D282" s="42"/>
      <c r="E282" s="297">
        <f>E281</f>
        <v>0</v>
      </c>
      <c r="F282" s="17"/>
      <c r="G282" s="17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81" t="s">
        <v>276</v>
      </c>
      <c r="B283" s="331" t="s">
        <v>255</v>
      </c>
      <c r="C283" s="321">
        <f>'0. Qtdades e Custos'!P57</f>
        <v>8</v>
      </c>
      <c r="D283" s="303">
        <f>E282</f>
        <v>0</v>
      </c>
      <c r="E283" s="297">
        <f>C283*D283</f>
        <v>0</v>
      </c>
      <c r="F283" s="17"/>
      <c r="G283" s="17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214"/>
      <c r="B284" s="214"/>
      <c r="C284" s="214"/>
      <c r="D284" s="205" t="s">
        <v>239</v>
      </c>
      <c r="E284" s="300">
        <f>$B$101</f>
        <v>1</v>
      </c>
      <c r="F284" s="327">
        <f>E283*E284</f>
        <v>0</v>
      </c>
      <c r="G284" s="17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1.25" customHeight="1" x14ac:dyDescent="0.25">
      <c r="A285" s="15"/>
      <c r="B285" s="15"/>
      <c r="C285" s="15"/>
      <c r="D285" s="17"/>
      <c r="E285" s="17"/>
      <c r="F285" s="17"/>
      <c r="G285" s="17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211" t="s">
        <v>277</v>
      </c>
      <c r="B286" s="15"/>
      <c r="C286" s="15"/>
      <c r="D286" s="17"/>
      <c r="E286" s="17"/>
      <c r="F286" s="17"/>
      <c r="G286" s="17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284" t="s">
        <v>227</v>
      </c>
      <c r="B287" s="285" t="s">
        <v>98</v>
      </c>
      <c r="C287" s="285" t="s">
        <v>55</v>
      </c>
      <c r="D287" s="286" t="s">
        <v>228</v>
      </c>
      <c r="E287" s="286" t="s">
        <v>229</v>
      </c>
      <c r="F287" s="287" t="s">
        <v>230</v>
      </c>
      <c r="G287" s="17"/>
      <c r="H287" s="15"/>
      <c r="I287" s="213"/>
      <c r="J287" s="213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289" t="s">
        <v>278</v>
      </c>
      <c r="B288" s="290" t="s">
        <v>255</v>
      </c>
      <c r="C288" s="290">
        <v>1</v>
      </c>
      <c r="D288" s="292">
        <f>D277</f>
        <v>0</v>
      </c>
      <c r="E288" s="292">
        <f>C288*D288</f>
        <v>0</v>
      </c>
      <c r="F288" s="142"/>
      <c r="G288" s="17"/>
      <c r="H288" s="15"/>
      <c r="I288" s="213"/>
      <c r="J288" s="213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293" t="s">
        <v>279</v>
      </c>
      <c r="B289" s="294" t="s">
        <v>207</v>
      </c>
      <c r="C289" s="299">
        <v>14.75</v>
      </c>
      <c r="D289" s="295"/>
      <c r="E289" s="295"/>
      <c r="F289" s="142"/>
      <c r="G289" s="17"/>
      <c r="H289" s="15"/>
      <c r="I289" s="213"/>
      <c r="J289" s="213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293" t="s">
        <v>280</v>
      </c>
      <c r="B290" s="294" t="s">
        <v>250</v>
      </c>
      <c r="C290" s="295">
        <f>IFERROR(IF(C279&lt;=C278,E277-(C280/(100*C278)*C279)*E277,E277-E280),0)</f>
        <v>0</v>
      </c>
      <c r="D290" s="295"/>
      <c r="E290" s="295"/>
      <c r="F290" s="142"/>
      <c r="G290" s="17"/>
      <c r="H290" s="15"/>
      <c r="I290" s="213"/>
      <c r="J290" s="213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293" t="s">
        <v>281</v>
      </c>
      <c r="B291" s="294" t="s">
        <v>250</v>
      </c>
      <c r="C291" s="295">
        <f>IFERROR(IF(C279&gt;=C278,C290,((((C290)-(E277-E280))*(((C278-C279)+1)/(2*(C278-C279))))+(E277-E280))),0)</f>
        <v>0</v>
      </c>
      <c r="D291" s="295"/>
      <c r="E291" s="295"/>
      <c r="F291" s="142"/>
      <c r="G291" s="17"/>
      <c r="H291" s="15"/>
      <c r="I291" s="213"/>
      <c r="J291" s="213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328" t="s">
        <v>282</v>
      </c>
      <c r="B292" s="329" t="s">
        <v>250</v>
      </c>
      <c r="C292" s="329"/>
      <c r="D292" s="330">
        <f>C289*C291/12/100</f>
        <v>0</v>
      </c>
      <c r="E292" s="330">
        <f>D292</f>
        <v>0</v>
      </c>
      <c r="F292" s="142"/>
      <c r="G292" s="17"/>
      <c r="H292" s="15"/>
      <c r="I292" s="213"/>
      <c r="J292" s="213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296" t="s">
        <v>275</v>
      </c>
      <c r="B293" s="143"/>
      <c r="C293" s="143"/>
      <c r="D293" s="42"/>
      <c r="E293" s="297">
        <f>E292</f>
        <v>0</v>
      </c>
      <c r="F293" s="142"/>
      <c r="G293" s="17"/>
      <c r="H293" s="15"/>
      <c r="I293" s="213"/>
      <c r="J293" s="213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81" t="s">
        <v>276</v>
      </c>
      <c r="B294" s="331" t="s">
        <v>255</v>
      </c>
      <c r="C294" s="332">
        <f>C283</f>
        <v>8</v>
      </c>
      <c r="D294" s="303">
        <f>E293</f>
        <v>0</v>
      </c>
      <c r="E294" s="297">
        <f>C294*D294</f>
        <v>0</v>
      </c>
      <c r="F294" s="142"/>
      <c r="G294" s="17"/>
      <c r="H294" s="15"/>
      <c r="I294" s="213"/>
      <c r="J294" s="213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41"/>
      <c r="D295" s="205" t="s">
        <v>239</v>
      </c>
      <c r="E295" s="300">
        <f>$B$101</f>
        <v>1</v>
      </c>
      <c r="F295" s="327">
        <f>E294*E295</f>
        <v>0</v>
      </c>
      <c r="G295" s="17"/>
      <c r="H295" s="15"/>
      <c r="I295" s="213"/>
      <c r="J295" s="213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1.25" customHeight="1" x14ac:dyDescent="0.25">
      <c r="A296" s="15"/>
      <c r="B296" s="15"/>
      <c r="C296" s="15"/>
      <c r="D296" s="17"/>
      <c r="E296" s="17"/>
      <c r="F296" s="17"/>
      <c r="G296" s="17"/>
      <c r="H296" s="15"/>
      <c r="I296" s="213"/>
      <c r="J296" s="213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 t="s">
        <v>283</v>
      </c>
      <c r="B297" s="15"/>
      <c r="C297" s="15"/>
      <c r="D297" s="17"/>
      <c r="E297" s="17"/>
      <c r="F297" s="17"/>
      <c r="G297" s="17"/>
      <c r="H297" s="15"/>
      <c r="I297" s="213"/>
      <c r="J297" s="213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284" t="s">
        <v>227</v>
      </c>
      <c r="B298" s="285" t="s">
        <v>98</v>
      </c>
      <c r="C298" s="285" t="s">
        <v>55</v>
      </c>
      <c r="D298" s="286" t="s">
        <v>228</v>
      </c>
      <c r="E298" s="286" t="s">
        <v>229</v>
      </c>
      <c r="F298" s="287" t="s">
        <v>230</v>
      </c>
      <c r="G298" s="17"/>
      <c r="H298" s="15">
        <f>163.92+109.29</f>
        <v>273.20999999999998</v>
      </c>
      <c r="I298" s="213"/>
      <c r="J298" s="213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289" t="s">
        <v>284</v>
      </c>
      <c r="B299" s="290" t="s">
        <v>255</v>
      </c>
      <c r="C299" s="292">
        <f>C283</f>
        <v>8</v>
      </c>
      <c r="D299" s="292">
        <f>0.01*($E$277)</f>
        <v>0</v>
      </c>
      <c r="E299" s="292">
        <f>C299*D299</f>
        <v>0</v>
      </c>
      <c r="F299" s="17"/>
      <c r="G299" s="17"/>
      <c r="H299" s="15"/>
      <c r="I299" s="213"/>
      <c r="J299" s="213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293" t="s">
        <v>285</v>
      </c>
      <c r="B300" s="294" t="s">
        <v>255</v>
      </c>
      <c r="C300" s="292">
        <f>C283</f>
        <v>8</v>
      </c>
      <c r="D300" s="313"/>
      <c r="E300" s="295">
        <f>C300*D300</f>
        <v>0</v>
      </c>
      <c r="F300" s="17"/>
      <c r="G300" s="17"/>
      <c r="H300" s="15"/>
      <c r="I300" s="213"/>
      <c r="J300" s="213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293" t="s">
        <v>286</v>
      </c>
      <c r="B301" s="294" t="s">
        <v>255</v>
      </c>
      <c r="C301" s="292">
        <f>C283</f>
        <v>8</v>
      </c>
      <c r="D301" s="313"/>
      <c r="E301" s="295">
        <f>C301*D301</f>
        <v>0</v>
      </c>
      <c r="F301" s="42"/>
      <c r="G301" s="17"/>
      <c r="H301" s="15"/>
      <c r="I301" s="213"/>
      <c r="J301" s="213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81" t="s">
        <v>287</v>
      </c>
      <c r="B302" s="331" t="s">
        <v>232</v>
      </c>
      <c r="C302" s="331">
        <v>12</v>
      </c>
      <c r="D302" s="303">
        <f>SUM(E299:E301)</f>
        <v>0</v>
      </c>
      <c r="E302" s="303">
        <f>D302/C302</f>
        <v>0</v>
      </c>
      <c r="F302" s="17"/>
      <c r="G302" s="17"/>
      <c r="H302" s="15"/>
      <c r="I302" s="213"/>
      <c r="J302" s="213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205" t="s">
        <v>239</v>
      </c>
      <c r="E303" s="300">
        <f>$B$101</f>
        <v>1</v>
      </c>
      <c r="F303" s="301">
        <f>E302*E303</f>
        <v>0</v>
      </c>
      <c r="G303" s="17"/>
      <c r="H303" s="15"/>
      <c r="I303" s="213"/>
      <c r="J303" s="213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1.25" customHeight="1" x14ac:dyDescent="0.25">
      <c r="A304" s="15"/>
      <c r="B304" s="15"/>
      <c r="C304" s="15"/>
      <c r="D304" s="17"/>
      <c r="E304" s="17"/>
      <c r="F304" s="17"/>
      <c r="G304" s="17"/>
      <c r="H304" s="15"/>
      <c r="I304" s="213"/>
      <c r="J304" s="213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 t="s">
        <v>288</v>
      </c>
      <c r="B305" s="215"/>
      <c r="C305" s="15"/>
      <c r="D305" s="17"/>
      <c r="E305" s="17"/>
      <c r="F305" s="17"/>
      <c r="G305" s="17"/>
      <c r="H305" s="15"/>
      <c r="I305" s="213"/>
      <c r="J305" s="213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215"/>
      <c r="C306" s="15"/>
      <c r="D306" s="17"/>
      <c r="E306" s="17"/>
      <c r="F306" s="17"/>
      <c r="G306" s="17"/>
      <c r="H306" s="15"/>
      <c r="I306" s="213"/>
      <c r="J306" s="213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81" t="s">
        <v>289</v>
      </c>
      <c r="B307" s="333">
        <f>'0. Qtdades e Custos'!D5*0.8</f>
        <v>720</v>
      </c>
      <c r="C307" s="15"/>
      <c r="D307" s="17"/>
      <c r="E307" s="17"/>
      <c r="F307" s="17"/>
      <c r="G307" s="17"/>
      <c r="H307" s="15"/>
      <c r="I307" s="213"/>
      <c r="J307" s="213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58.5" customHeight="1" x14ac:dyDescent="0.25">
      <c r="A308" s="334" t="s">
        <v>290</v>
      </c>
      <c r="B308" s="335">
        <f>'0. Qtdades e Custos'!Y57</f>
        <v>0</v>
      </c>
      <c r="C308" s="15"/>
      <c r="D308" s="17"/>
      <c r="E308" s="17"/>
      <c r="F308" s="17"/>
      <c r="G308" s="17"/>
      <c r="H308" s="15"/>
      <c r="I308" s="213"/>
      <c r="J308" s="213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215"/>
      <c r="C309" s="15"/>
      <c r="D309" s="17"/>
      <c r="E309" s="17"/>
      <c r="F309" s="17"/>
      <c r="G309" s="17"/>
      <c r="H309" s="15"/>
      <c r="I309" s="213"/>
      <c r="J309" s="213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284" t="s">
        <v>227</v>
      </c>
      <c r="B310" s="285" t="s">
        <v>98</v>
      </c>
      <c r="C310" s="285" t="s">
        <v>291</v>
      </c>
      <c r="D310" s="286" t="s">
        <v>228</v>
      </c>
      <c r="E310" s="286" t="s">
        <v>229</v>
      </c>
      <c r="F310" s="287" t="s">
        <v>230</v>
      </c>
      <c r="G310" s="17"/>
      <c r="H310" s="15"/>
      <c r="I310" s="213"/>
      <c r="J310" s="213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293" t="s">
        <v>292</v>
      </c>
      <c r="B311" s="294" t="s">
        <v>293</v>
      </c>
      <c r="C311" s="336">
        <f>B308</f>
        <v>0</v>
      </c>
      <c r="D311" s="337"/>
      <c r="E311" s="292"/>
      <c r="F311" s="17"/>
      <c r="G311" s="17"/>
      <c r="H311" s="15"/>
      <c r="I311" s="213"/>
      <c r="J311" s="213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334" t="s">
        <v>294</v>
      </c>
      <c r="B312" s="294" t="s">
        <v>295</v>
      </c>
      <c r="C312" s="295">
        <f>C311</f>
        <v>0</v>
      </c>
      <c r="D312" s="338"/>
      <c r="E312" s="295">
        <f>C312*D311</f>
        <v>0</v>
      </c>
      <c r="F312" s="17"/>
      <c r="G312" s="17"/>
      <c r="H312" s="15"/>
      <c r="I312" s="213"/>
      <c r="J312" s="213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7"/>
      <c r="E313" s="17"/>
      <c r="F313" s="327">
        <f>SUM(E311:E312)</f>
        <v>0</v>
      </c>
      <c r="G313" s="17"/>
      <c r="H313" s="15"/>
      <c r="I313" s="213"/>
      <c r="J313" s="213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1.25" customHeight="1" x14ac:dyDescent="0.25">
      <c r="A314" s="15"/>
      <c r="B314" s="15"/>
      <c r="C314" s="15"/>
      <c r="D314" s="17"/>
      <c r="E314" s="17"/>
      <c r="F314" s="17"/>
      <c r="G314" s="17"/>
      <c r="H314" s="15"/>
      <c r="I314" s="213"/>
      <c r="J314" s="213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 t="s">
        <v>296</v>
      </c>
      <c r="B315" s="15"/>
      <c r="C315" s="15"/>
      <c r="D315" s="17"/>
      <c r="E315" s="17"/>
      <c r="F315" s="17"/>
      <c r="G315" s="17"/>
      <c r="H315" s="15"/>
      <c r="I315" s="213"/>
      <c r="J315" s="213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6" customHeight="1" x14ac:dyDescent="0.25">
      <c r="A316" s="284" t="s">
        <v>227</v>
      </c>
      <c r="B316" s="285" t="s">
        <v>98</v>
      </c>
      <c r="C316" s="285" t="s">
        <v>297</v>
      </c>
      <c r="D316" s="339" t="s">
        <v>298</v>
      </c>
      <c r="E316" s="286" t="s">
        <v>229</v>
      </c>
      <c r="F316" s="287" t="s">
        <v>230</v>
      </c>
      <c r="G316" s="17"/>
      <c r="H316" s="15"/>
      <c r="I316" s="213"/>
      <c r="J316" s="213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289" t="s">
        <v>299</v>
      </c>
      <c r="B317" s="290" t="s">
        <v>250</v>
      </c>
      <c r="C317" s="340">
        <f>'0. Qtdades e Custos'!S57/('0. Qtdades e Custos'!Q57*12)</f>
        <v>1.0714285714285714E-2</v>
      </c>
      <c r="D317" s="291">
        <f>'0. Qtdades e Custos'!N57</f>
        <v>0</v>
      </c>
      <c r="E317" s="292">
        <f>C317*D317</f>
        <v>0</v>
      </c>
      <c r="F317" s="17"/>
      <c r="G317" s="17"/>
      <c r="H317" s="15"/>
      <c r="I317" s="213"/>
      <c r="J317" s="213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7"/>
      <c r="E318" s="17"/>
      <c r="F318" s="327">
        <f>E317</f>
        <v>0</v>
      </c>
      <c r="G318" s="17"/>
      <c r="H318" s="15"/>
      <c r="I318" s="213"/>
      <c r="J318" s="213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1.25" customHeight="1" x14ac:dyDescent="0.25">
      <c r="A319" s="15"/>
      <c r="B319" s="15"/>
      <c r="C319" s="15"/>
      <c r="D319" s="17"/>
      <c r="E319" s="17"/>
      <c r="F319" s="17"/>
      <c r="G319" s="17"/>
      <c r="H319" s="15"/>
      <c r="I319" s="213"/>
      <c r="J319" s="213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 t="s">
        <v>300</v>
      </c>
      <c r="B320" s="15"/>
      <c r="C320" s="15"/>
      <c r="D320" s="17"/>
      <c r="E320" s="17"/>
      <c r="F320" s="17"/>
      <c r="G320" s="17"/>
      <c r="H320" s="15"/>
      <c r="I320" s="213"/>
      <c r="J320" s="213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284" t="s">
        <v>227</v>
      </c>
      <c r="B321" s="285" t="s">
        <v>98</v>
      </c>
      <c r="C321" s="285" t="s">
        <v>55</v>
      </c>
      <c r="D321" s="286" t="s">
        <v>228</v>
      </c>
      <c r="E321" s="286" t="s">
        <v>229</v>
      </c>
      <c r="F321" s="287" t="s">
        <v>230</v>
      </c>
      <c r="G321" s="17"/>
      <c r="H321" s="15"/>
      <c r="I321" s="213"/>
      <c r="J321" s="213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289" t="s">
        <v>301</v>
      </c>
      <c r="B322" s="290" t="s">
        <v>255</v>
      </c>
      <c r="C322" s="341">
        <v>6</v>
      </c>
      <c r="D322" s="291"/>
      <c r="E322" s="292">
        <f>C322*D322</f>
        <v>0</v>
      </c>
      <c r="F322" s="17"/>
      <c r="G322" s="17"/>
      <c r="H322" s="15"/>
      <c r="I322" s="213"/>
      <c r="J322" s="213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289" t="s">
        <v>302</v>
      </c>
      <c r="B323" s="290" t="s">
        <v>255</v>
      </c>
      <c r="C323" s="341">
        <v>1</v>
      </c>
      <c r="D323" s="292"/>
      <c r="E323" s="292"/>
      <c r="F323" s="17"/>
      <c r="G323" s="17"/>
      <c r="H323" s="15"/>
      <c r="I323" s="213"/>
      <c r="J323" s="213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289" t="s">
        <v>303</v>
      </c>
      <c r="B324" s="290" t="s">
        <v>255</v>
      </c>
      <c r="C324" s="292">
        <f>C322*C323</f>
        <v>6</v>
      </c>
      <c r="D324" s="291"/>
      <c r="E324" s="292">
        <f>C324*D324</f>
        <v>0</v>
      </c>
      <c r="F324" s="17"/>
      <c r="G324" s="17"/>
      <c r="H324" s="15"/>
      <c r="I324" s="213"/>
      <c r="J324" s="213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293" t="s">
        <v>304</v>
      </c>
      <c r="B325" s="294" t="s">
        <v>305</v>
      </c>
      <c r="C325" s="342">
        <v>60000</v>
      </c>
      <c r="D325" s="295">
        <f>E322+E324</f>
        <v>0</v>
      </c>
      <c r="E325" s="295">
        <f>IFERROR(D325/C325,"-")</f>
        <v>0</v>
      </c>
      <c r="F325" s="17"/>
      <c r="G325" s="17"/>
      <c r="H325" s="15"/>
      <c r="I325" s="213"/>
      <c r="J325" s="213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293" t="s">
        <v>306</v>
      </c>
      <c r="B326" s="294" t="s">
        <v>307</v>
      </c>
      <c r="C326" s="307">
        <f>B307</f>
        <v>720</v>
      </c>
      <c r="D326" s="295">
        <f>E325</f>
        <v>0</v>
      </c>
      <c r="E326" s="295">
        <f>IFERROR(C326*D326,0)</f>
        <v>0</v>
      </c>
      <c r="F326" s="17"/>
      <c r="G326" s="17"/>
      <c r="H326" s="15"/>
      <c r="I326" s="213"/>
      <c r="J326" s="213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7"/>
      <c r="E327" s="17"/>
      <c r="F327" s="327">
        <f>E326</f>
        <v>0</v>
      </c>
      <c r="G327" s="17"/>
      <c r="H327" s="15"/>
      <c r="I327" s="213"/>
      <c r="J327" s="213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1.25" customHeight="1" x14ac:dyDescent="0.25">
      <c r="A328" s="15"/>
      <c r="B328" s="15"/>
      <c r="C328" s="15"/>
      <c r="D328" s="17"/>
      <c r="E328" s="17"/>
      <c r="F328" s="17"/>
      <c r="G328" s="17"/>
      <c r="H328" s="15"/>
      <c r="I328" s="213"/>
      <c r="J328" s="213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1.25" customHeight="1" x14ac:dyDescent="0.25">
      <c r="A329" s="15" t="s">
        <v>308</v>
      </c>
      <c r="B329" s="15"/>
      <c r="C329" s="15"/>
      <c r="D329" s="17"/>
      <c r="E329" s="17"/>
      <c r="F329" s="17"/>
      <c r="G329" s="17"/>
      <c r="H329" s="15"/>
      <c r="I329" s="213"/>
      <c r="J329" s="213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1.25" customHeight="1" x14ac:dyDescent="0.25">
      <c r="A330" s="343" t="s">
        <v>227</v>
      </c>
      <c r="B330" s="344" t="s">
        <v>98</v>
      </c>
      <c r="C330" s="344" t="s">
        <v>55</v>
      </c>
      <c r="D330" s="345" t="s">
        <v>228</v>
      </c>
      <c r="E330" s="345" t="s">
        <v>229</v>
      </c>
      <c r="F330" s="346" t="s">
        <v>230</v>
      </c>
      <c r="G330" s="17"/>
      <c r="H330" s="15"/>
      <c r="I330" s="213"/>
      <c r="J330" s="213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1.25" customHeight="1" x14ac:dyDescent="0.25">
      <c r="A331" s="293" t="s">
        <v>192</v>
      </c>
      <c r="B331" s="294" t="s">
        <v>255</v>
      </c>
      <c r="C331" s="293">
        <v>8</v>
      </c>
      <c r="D331" s="300"/>
      <c r="E331" s="300">
        <f>(C331*D331)</f>
        <v>0</v>
      </c>
      <c r="F331" s="300">
        <f>E331*30</f>
        <v>0</v>
      </c>
      <c r="G331" s="17"/>
      <c r="H331" s="15"/>
      <c r="I331" s="213"/>
      <c r="J331" s="213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1.25" customHeight="1" x14ac:dyDescent="0.25">
      <c r="A332" s="15"/>
      <c r="B332" s="15"/>
      <c r="C332" s="15"/>
      <c r="D332" s="17"/>
      <c r="E332" s="17"/>
      <c r="F332" s="17"/>
      <c r="G332" s="17"/>
      <c r="H332" s="15"/>
      <c r="I332" s="213"/>
      <c r="J332" s="213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1.25" customHeight="1" x14ac:dyDescent="0.25">
      <c r="A333" s="15"/>
      <c r="B333" s="15"/>
      <c r="C333" s="15"/>
      <c r="D333" s="17"/>
      <c r="E333" s="17"/>
      <c r="F333" s="17"/>
      <c r="G333" s="17"/>
      <c r="H333" s="15"/>
      <c r="I333" s="213"/>
      <c r="J333" s="213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1.25" customHeight="1" x14ac:dyDescent="0.25">
      <c r="A334" s="15" t="s">
        <v>309</v>
      </c>
      <c r="B334" s="15"/>
      <c r="C334" s="15"/>
      <c r="D334" s="17"/>
      <c r="E334" s="17"/>
      <c r="F334" s="17"/>
      <c r="G334" s="17"/>
      <c r="H334" s="15"/>
      <c r="I334" s="213"/>
      <c r="J334" s="213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1.25" customHeight="1" x14ac:dyDescent="0.25">
      <c r="A335" s="343" t="s">
        <v>227</v>
      </c>
      <c r="B335" s="344" t="s">
        <v>98</v>
      </c>
      <c r="C335" s="344" t="s">
        <v>55</v>
      </c>
      <c r="D335" s="345" t="s">
        <v>228</v>
      </c>
      <c r="E335" s="345" t="s">
        <v>229</v>
      </c>
      <c r="F335" s="346" t="s">
        <v>230</v>
      </c>
      <c r="G335" s="17"/>
      <c r="H335" s="15"/>
      <c r="I335" s="213"/>
      <c r="J335" s="213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1.25" customHeight="1" x14ac:dyDescent="0.25">
      <c r="A336" s="293" t="s">
        <v>310</v>
      </c>
      <c r="B336" s="294" t="s">
        <v>255</v>
      </c>
      <c r="C336" s="293">
        <v>515.62</v>
      </c>
      <c r="D336" s="300" t="e">
        <f>'0. Qtdades e Custos'!G217</f>
        <v>#DIV/0!</v>
      </c>
      <c r="E336" s="300" t="e">
        <f>(C336*D336)</f>
        <v>#DIV/0!</v>
      </c>
      <c r="F336" s="300" t="e">
        <f>E336</f>
        <v>#DIV/0!</v>
      </c>
      <c r="G336" s="17"/>
      <c r="H336" s="15"/>
      <c r="I336" s="213"/>
      <c r="J336" s="213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1.25" customHeight="1" x14ac:dyDescent="0.25">
      <c r="A337" s="15"/>
      <c r="B337" s="15"/>
      <c r="C337" s="15"/>
      <c r="D337" s="17"/>
      <c r="E337" s="17"/>
      <c r="F337" s="17"/>
      <c r="G337" s="17"/>
      <c r="H337" s="15"/>
      <c r="I337" s="213"/>
      <c r="J337" s="213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1.25" customHeight="1" x14ac:dyDescent="0.25">
      <c r="A338" s="347" t="s">
        <v>311</v>
      </c>
      <c r="B338" s="347"/>
      <c r="C338" s="347"/>
      <c r="D338" s="348"/>
      <c r="E338" s="348"/>
      <c r="F338" s="348"/>
      <c r="G338" s="17"/>
      <c r="H338" s="15"/>
      <c r="I338" s="213"/>
      <c r="J338" s="213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1.25" customHeight="1" x14ac:dyDescent="0.25">
      <c r="A339" s="349" t="s">
        <v>227</v>
      </c>
      <c r="B339" s="350" t="s">
        <v>98</v>
      </c>
      <c r="C339" s="350" t="s">
        <v>55</v>
      </c>
      <c r="D339" s="351" t="s">
        <v>228</v>
      </c>
      <c r="E339" s="351" t="s">
        <v>229</v>
      </c>
      <c r="F339" s="352" t="s">
        <v>312</v>
      </c>
      <c r="G339" s="17"/>
      <c r="H339" s="15"/>
      <c r="I339" s="213"/>
      <c r="J339" s="213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1.25" customHeight="1" x14ac:dyDescent="0.25">
      <c r="A340" s="353" t="s">
        <v>313</v>
      </c>
      <c r="B340" s="322" t="s">
        <v>314</v>
      </c>
      <c r="C340" s="322">
        <v>8</v>
      </c>
      <c r="D340" s="354">
        <f>'0. Qtdades e Custos'!D225</f>
        <v>0</v>
      </c>
      <c r="E340" s="355">
        <f>D340*C340</f>
        <v>0</v>
      </c>
      <c r="F340" s="356"/>
      <c r="G340" s="17"/>
      <c r="H340" s="15"/>
      <c r="I340" s="213"/>
      <c r="J340" s="213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1.25" customHeight="1" x14ac:dyDescent="0.25">
      <c r="A341" s="353" t="s">
        <v>315</v>
      </c>
      <c r="B341" s="322" t="s">
        <v>232</v>
      </c>
      <c r="C341" s="322">
        <v>60</v>
      </c>
      <c r="D341" s="355">
        <f>D340</f>
        <v>0</v>
      </c>
      <c r="E341" s="355">
        <f>D341/C341</f>
        <v>0</v>
      </c>
      <c r="F341" s="356"/>
      <c r="G341" s="17"/>
      <c r="H341" s="15"/>
      <c r="I341" s="213"/>
      <c r="J341" s="213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1.25" customHeight="1" x14ac:dyDescent="0.25">
      <c r="A342" s="353" t="s">
        <v>316</v>
      </c>
      <c r="B342" s="322" t="s">
        <v>317</v>
      </c>
      <c r="C342" s="322">
        <v>8</v>
      </c>
      <c r="D342" s="354">
        <f>'0. Qtdades e Custos'!D226</f>
        <v>0</v>
      </c>
      <c r="E342" s="355">
        <f>D342*C342</f>
        <v>0</v>
      </c>
      <c r="F342" s="356"/>
      <c r="G342" s="17"/>
      <c r="H342" s="15"/>
      <c r="I342" s="213"/>
      <c r="J342" s="213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1.25" customHeight="1" x14ac:dyDescent="0.25">
      <c r="A343" s="357" t="s">
        <v>318</v>
      </c>
      <c r="B343" s="358"/>
      <c r="C343" s="359"/>
      <c r="D343" s="360"/>
      <c r="E343" s="361">
        <f>E342+E341</f>
        <v>0</v>
      </c>
      <c r="F343" s="356"/>
      <c r="G343" s="17"/>
      <c r="H343" s="15"/>
      <c r="I343" s="213"/>
      <c r="J343" s="213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1.25" customHeight="1" x14ac:dyDescent="0.25">
      <c r="A344" s="347"/>
      <c r="B344" s="347"/>
      <c r="C344" s="347"/>
      <c r="D344" s="362" t="s">
        <v>239</v>
      </c>
      <c r="E344" s="363">
        <v>1</v>
      </c>
      <c r="F344" s="364">
        <f>(E343)*E344</f>
        <v>0</v>
      </c>
      <c r="G344" s="17"/>
      <c r="H344" s="15"/>
      <c r="I344" s="213"/>
      <c r="J344" s="213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1.25" customHeight="1" x14ac:dyDescent="0.25">
      <c r="A345" s="347"/>
      <c r="B345" s="347"/>
      <c r="C345" s="347"/>
      <c r="D345" s="348"/>
      <c r="E345" s="348"/>
      <c r="F345" s="348"/>
      <c r="G345" s="17"/>
      <c r="H345" s="15"/>
      <c r="I345" s="213"/>
      <c r="J345" s="213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1.25" customHeight="1" x14ac:dyDescent="0.25">
      <c r="A346" s="365" t="s">
        <v>319</v>
      </c>
      <c r="B346" s="366"/>
      <c r="C346" s="366"/>
      <c r="D346" s="367"/>
      <c r="E346" s="368"/>
      <c r="F346" s="369">
        <f>F344</f>
        <v>0</v>
      </c>
      <c r="G346" s="17"/>
      <c r="H346" s="15"/>
      <c r="I346" s="213"/>
      <c r="J346" s="213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1.25" customHeight="1" x14ac:dyDescent="0.25">
      <c r="A347" s="15"/>
      <c r="B347" s="15"/>
      <c r="C347" s="15"/>
      <c r="D347" s="17"/>
      <c r="E347" s="17"/>
      <c r="F347" s="17"/>
      <c r="G347" s="17"/>
      <c r="H347" s="15"/>
      <c r="I347" s="213"/>
      <c r="J347" s="213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1.25" customHeight="1" x14ac:dyDescent="0.25">
      <c r="A348" s="15"/>
      <c r="B348" s="15"/>
      <c r="C348" s="15"/>
      <c r="D348" s="17"/>
      <c r="E348" s="17"/>
      <c r="F348" s="17"/>
      <c r="G348" s="17"/>
      <c r="H348" s="15"/>
      <c r="I348" s="213"/>
      <c r="J348" s="213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1.25" customHeight="1" x14ac:dyDescent="0.25">
      <c r="A349" s="15"/>
      <c r="B349" s="15"/>
      <c r="C349" s="15"/>
      <c r="D349" s="17"/>
      <c r="E349" s="17"/>
      <c r="F349" s="17"/>
      <c r="G349" s="17"/>
      <c r="H349" s="15"/>
      <c r="I349" s="213"/>
      <c r="J349" s="213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601" t="s">
        <v>320</v>
      </c>
      <c r="B350" s="601"/>
      <c r="C350" s="601"/>
      <c r="D350" s="601"/>
      <c r="E350" s="601"/>
      <c r="F350" s="601"/>
      <c r="G350" s="17"/>
      <c r="H350" s="15"/>
      <c r="I350" s="213"/>
      <c r="J350" s="213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1.25" customHeight="1" x14ac:dyDescent="0.25">
      <c r="A351" s="15"/>
      <c r="B351" s="15"/>
      <c r="C351" s="15"/>
      <c r="D351" s="17"/>
      <c r="E351" s="17"/>
      <c r="F351" s="17"/>
      <c r="G351" s="17"/>
      <c r="H351" s="15"/>
      <c r="I351" s="213"/>
      <c r="J351" s="213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1.25" customHeight="1" x14ac:dyDescent="0.25">
      <c r="A352" s="211" t="s">
        <v>321</v>
      </c>
      <c r="B352" s="15"/>
      <c r="C352" s="15"/>
      <c r="D352" s="17"/>
      <c r="E352" s="17"/>
      <c r="F352" s="17"/>
      <c r="G352" s="17"/>
      <c r="H352" s="15"/>
      <c r="I352" s="213"/>
      <c r="J352" s="213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1.25" customHeight="1" x14ac:dyDescent="0.25">
      <c r="A353" s="284" t="s">
        <v>227</v>
      </c>
      <c r="B353" s="285" t="s">
        <v>98</v>
      </c>
      <c r="C353" s="285" t="s">
        <v>55</v>
      </c>
      <c r="D353" s="286" t="s">
        <v>228</v>
      </c>
      <c r="E353" s="286" t="s">
        <v>229</v>
      </c>
      <c r="F353" s="287" t="s">
        <v>230</v>
      </c>
      <c r="G353" s="17"/>
      <c r="H353" s="15"/>
      <c r="I353" s="213"/>
      <c r="J353" s="213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1.25" customHeight="1" x14ac:dyDescent="0.25">
      <c r="A354" s="289" t="s">
        <v>322</v>
      </c>
      <c r="B354" s="290" t="s">
        <v>255</v>
      </c>
      <c r="C354" s="290">
        <v>1</v>
      </c>
      <c r="D354" s="291">
        <f>'0. Qtdades e Custos'!N58</f>
        <v>0</v>
      </c>
      <c r="E354" s="292">
        <f>C354*D354</f>
        <v>0</v>
      </c>
      <c r="F354" s="17"/>
      <c r="G354" s="17"/>
      <c r="H354" s="15"/>
      <c r="I354" s="213"/>
      <c r="J354" s="213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1.25" customHeight="1" x14ac:dyDescent="0.25">
      <c r="A355" s="293" t="s">
        <v>270</v>
      </c>
      <c r="B355" s="294" t="s">
        <v>271</v>
      </c>
      <c r="C355" s="321">
        <f>'0. Qtdades e Custos'!Q58</f>
        <v>5</v>
      </c>
      <c r="D355" s="295"/>
      <c r="E355" s="295"/>
      <c r="F355" s="17"/>
      <c r="G355" s="17"/>
      <c r="H355" s="15"/>
      <c r="I355" s="213"/>
      <c r="J355" s="213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1.25" customHeight="1" x14ac:dyDescent="0.25">
      <c r="A356" s="293" t="s">
        <v>272</v>
      </c>
      <c r="B356" s="294" t="s">
        <v>271</v>
      </c>
      <c r="C356" s="299">
        <v>0</v>
      </c>
      <c r="D356" s="295"/>
      <c r="E356" s="295"/>
      <c r="F356" s="142"/>
      <c r="G356" s="17"/>
      <c r="H356" s="15"/>
      <c r="I356" s="213"/>
      <c r="J356" s="213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1.25" customHeight="1" x14ac:dyDescent="0.25">
      <c r="A357" s="293" t="s">
        <v>273</v>
      </c>
      <c r="B357" s="294" t="s">
        <v>207</v>
      </c>
      <c r="C357" s="298">
        <f>IFERROR(VLOOKUP(C355,'9. Depreciação'!A3:B17,2,0),0)</f>
        <v>55.68</v>
      </c>
      <c r="D357" s="295">
        <f>E354</f>
        <v>0</v>
      </c>
      <c r="E357" s="295">
        <f>C357*D357/100</f>
        <v>0</v>
      </c>
      <c r="F357" s="17"/>
      <c r="G357" s="17"/>
      <c r="H357" s="15"/>
      <c r="I357" s="213"/>
      <c r="J357" s="213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1.25" customHeight="1" x14ac:dyDescent="0.25">
      <c r="A358" s="328" t="s">
        <v>323</v>
      </c>
      <c r="B358" s="329" t="s">
        <v>232</v>
      </c>
      <c r="C358" s="329">
        <f>C355*12</f>
        <v>60</v>
      </c>
      <c r="D358" s="330">
        <f>IF(C356&lt;=C355,E357,0)</f>
        <v>0</v>
      </c>
      <c r="E358" s="330">
        <f>IFERROR(D358/C358,0)</f>
        <v>0</v>
      </c>
      <c r="F358" s="17"/>
      <c r="G358" s="17"/>
      <c r="H358" s="15"/>
      <c r="I358" s="213"/>
      <c r="J358" s="213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1.25" customHeight="1" x14ac:dyDescent="0.25">
      <c r="A359" s="296" t="s">
        <v>275</v>
      </c>
      <c r="B359" s="143"/>
      <c r="C359" s="143"/>
      <c r="D359" s="42"/>
      <c r="E359" s="297">
        <f>E358</f>
        <v>0</v>
      </c>
      <c r="F359" s="17"/>
      <c r="G359" s="17"/>
      <c r="H359" s="15"/>
      <c r="I359" s="213"/>
      <c r="J359" s="213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1.25" customHeight="1" x14ac:dyDescent="0.25">
      <c r="A360" s="181" t="s">
        <v>276</v>
      </c>
      <c r="B360" s="331" t="s">
        <v>255</v>
      </c>
      <c r="C360" s="321">
        <f>'0. Qtdades e Custos'!P58</f>
        <v>4</v>
      </c>
      <c r="D360" s="303">
        <f>E359</f>
        <v>0</v>
      </c>
      <c r="E360" s="297">
        <f>C360*D360</f>
        <v>0</v>
      </c>
      <c r="F360" s="17"/>
      <c r="G360" s="17"/>
      <c r="H360" s="15"/>
      <c r="I360" s="213"/>
      <c r="J360" s="213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1.25" customHeight="1" x14ac:dyDescent="0.25">
      <c r="A361" s="214"/>
      <c r="B361" s="214"/>
      <c r="C361" s="214"/>
      <c r="D361" s="205" t="s">
        <v>239</v>
      </c>
      <c r="E361" s="300">
        <f>$B$101</f>
        <v>1</v>
      </c>
      <c r="F361" s="327">
        <f>E360*E361</f>
        <v>0</v>
      </c>
      <c r="G361" s="17"/>
      <c r="H361" s="15"/>
      <c r="I361" s="213">
        <f>F361+F372+F380+F390+F395+F409</f>
        <v>0</v>
      </c>
      <c r="J361" s="213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1.25" customHeight="1" x14ac:dyDescent="0.25">
      <c r="A362" s="15"/>
      <c r="B362" s="15"/>
      <c r="C362" s="15"/>
      <c r="D362" s="17"/>
      <c r="E362" s="17"/>
      <c r="F362" s="17"/>
      <c r="G362" s="17"/>
      <c r="H362" s="15"/>
      <c r="I362" s="213"/>
      <c r="J362" s="213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1.25" customHeight="1" x14ac:dyDescent="0.25">
      <c r="A363" s="211" t="s">
        <v>324</v>
      </c>
      <c r="B363" s="15"/>
      <c r="C363" s="15"/>
      <c r="D363" s="17"/>
      <c r="E363" s="17"/>
      <c r="F363" s="17"/>
      <c r="G363" s="17"/>
      <c r="H363" s="15"/>
      <c r="I363" s="213"/>
      <c r="J363" s="213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1.25" customHeight="1" x14ac:dyDescent="0.25">
      <c r="A364" s="284" t="s">
        <v>227</v>
      </c>
      <c r="B364" s="285" t="s">
        <v>98</v>
      </c>
      <c r="C364" s="285" t="s">
        <v>55</v>
      </c>
      <c r="D364" s="286" t="s">
        <v>228</v>
      </c>
      <c r="E364" s="286" t="s">
        <v>229</v>
      </c>
      <c r="F364" s="287" t="s">
        <v>230</v>
      </c>
      <c r="G364" s="17"/>
      <c r="H364" s="15"/>
      <c r="I364" s="213"/>
      <c r="J364" s="213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1.25" customHeight="1" x14ac:dyDescent="0.25">
      <c r="A365" s="289" t="s">
        <v>325</v>
      </c>
      <c r="B365" s="290" t="s">
        <v>255</v>
      </c>
      <c r="C365" s="290">
        <v>1</v>
      </c>
      <c r="D365" s="292">
        <f>D354</f>
        <v>0</v>
      </c>
      <c r="E365" s="292">
        <f>C365*D365</f>
        <v>0</v>
      </c>
      <c r="F365" s="142"/>
      <c r="G365" s="17"/>
      <c r="H365" s="15"/>
      <c r="I365" s="213"/>
      <c r="J365" s="213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1.25" customHeight="1" x14ac:dyDescent="0.25">
      <c r="A366" s="293" t="s">
        <v>279</v>
      </c>
      <c r="B366" s="294" t="s">
        <v>207</v>
      </c>
      <c r="C366" s="299">
        <v>14.75</v>
      </c>
      <c r="D366" s="295"/>
      <c r="E366" s="295"/>
      <c r="F366" s="142"/>
      <c r="G366" s="17"/>
      <c r="H366" s="15"/>
      <c r="I366" s="213"/>
      <c r="J366" s="213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1.25" customHeight="1" x14ac:dyDescent="0.25">
      <c r="A367" s="293" t="s">
        <v>280</v>
      </c>
      <c r="B367" s="294" t="s">
        <v>250</v>
      </c>
      <c r="C367" s="295">
        <f>IFERROR(IF(C356&lt;=C355,E354-(C357/(100*C355)*C356)*E354,E354-E357),0)</f>
        <v>0</v>
      </c>
      <c r="D367" s="295"/>
      <c r="E367" s="295"/>
      <c r="F367" s="142"/>
      <c r="G367" s="17"/>
      <c r="H367" s="15"/>
      <c r="I367" s="213"/>
      <c r="J367" s="213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1.25" customHeight="1" x14ac:dyDescent="0.25">
      <c r="A368" s="293" t="s">
        <v>326</v>
      </c>
      <c r="B368" s="294" t="s">
        <v>250</v>
      </c>
      <c r="C368" s="295">
        <f>IFERROR(IF(C356&gt;=C355,C367,((((C367)-(E354-E357))*(((C355-C356)+1)/(2*(C355-C356))))+(E354-E357))),0)</f>
        <v>0</v>
      </c>
      <c r="D368" s="295"/>
      <c r="E368" s="295"/>
      <c r="F368" s="142"/>
      <c r="G368" s="17"/>
      <c r="H368" s="15"/>
      <c r="I368" s="213"/>
      <c r="J368" s="213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1.25" customHeight="1" x14ac:dyDescent="0.25">
      <c r="A369" s="328" t="s">
        <v>327</v>
      </c>
      <c r="B369" s="329" t="s">
        <v>250</v>
      </c>
      <c r="C369" s="329"/>
      <c r="D369" s="330">
        <f>C366*C368/12/100</f>
        <v>0</v>
      </c>
      <c r="E369" s="330">
        <f>D369</f>
        <v>0</v>
      </c>
      <c r="F369" s="142"/>
      <c r="G369" s="17"/>
      <c r="H369" s="15"/>
      <c r="I369" s="213"/>
      <c r="J369" s="213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1.25" customHeight="1" x14ac:dyDescent="0.25">
      <c r="A370" s="296" t="s">
        <v>275</v>
      </c>
      <c r="B370" s="143"/>
      <c r="C370" s="143"/>
      <c r="D370" s="42"/>
      <c r="E370" s="297">
        <f>E369</f>
        <v>0</v>
      </c>
      <c r="F370" s="142"/>
      <c r="G370" s="17"/>
      <c r="H370" s="15"/>
      <c r="I370" s="213"/>
      <c r="J370" s="213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1.25" customHeight="1" x14ac:dyDescent="0.25">
      <c r="A371" s="181" t="s">
        <v>276</v>
      </c>
      <c r="B371" s="331" t="s">
        <v>255</v>
      </c>
      <c r="C371" s="332">
        <f>C360</f>
        <v>4</v>
      </c>
      <c r="D371" s="303">
        <f>E370</f>
        <v>0</v>
      </c>
      <c r="E371" s="297">
        <f>C371*D371</f>
        <v>0</v>
      </c>
      <c r="F371" s="142"/>
      <c r="G371" s="17"/>
      <c r="H371" s="15"/>
      <c r="I371" s="213"/>
      <c r="J371" s="213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1.25" customHeight="1" x14ac:dyDescent="0.25">
      <c r="A372" s="15"/>
      <c r="B372" s="15"/>
      <c r="C372" s="141"/>
      <c r="D372" s="205" t="s">
        <v>239</v>
      </c>
      <c r="E372" s="300">
        <f>$B$101</f>
        <v>1</v>
      </c>
      <c r="F372" s="327">
        <f>E371*E372</f>
        <v>0</v>
      </c>
      <c r="G372" s="17"/>
      <c r="H372" s="15"/>
      <c r="I372" s="213"/>
      <c r="J372" s="213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1.25" customHeight="1" x14ac:dyDescent="0.25">
      <c r="A373" s="15"/>
      <c r="B373" s="15"/>
      <c r="C373" s="15"/>
      <c r="D373" s="17"/>
      <c r="E373" s="17"/>
      <c r="F373" s="17"/>
      <c r="G373" s="17"/>
      <c r="H373" s="15"/>
      <c r="I373" s="213"/>
      <c r="J373" s="213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1.25" customHeight="1" x14ac:dyDescent="0.25">
      <c r="A374" s="15" t="s">
        <v>328</v>
      </c>
      <c r="B374" s="15"/>
      <c r="C374" s="15"/>
      <c r="D374" s="17"/>
      <c r="E374" s="17"/>
      <c r="F374" s="17"/>
      <c r="G374" s="17"/>
      <c r="H374" s="15"/>
      <c r="I374" s="213"/>
      <c r="J374" s="213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1.25" customHeight="1" x14ac:dyDescent="0.25">
      <c r="A375" s="284" t="s">
        <v>227</v>
      </c>
      <c r="B375" s="285" t="s">
        <v>98</v>
      </c>
      <c r="C375" s="285" t="s">
        <v>55</v>
      </c>
      <c r="D375" s="286" t="s">
        <v>228</v>
      </c>
      <c r="E375" s="286" t="s">
        <v>229</v>
      </c>
      <c r="F375" s="287" t="s">
        <v>230</v>
      </c>
      <c r="G375" s="17"/>
      <c r="H375" s="15"/>
      <c r="I375" s="213"/>
      <c r="J375" s="213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1.25" customHeight="1" x14ac:dyDescent="0.25">
      <c r="A376" s="289" t="s">
        <v>284</v>
      </c>
      <c r="B376" s="290" t="s">
        <v>255</v>
      </c>
      <c r="C376" s="292">
        <f>C360</f>
        <v>4</v>
      </c>
      <c r="D376" s="292">
        <f>0.01*($E$277)</f>
        <v>0</v>
      </c>
      <c r="E376" s="292">
        <f>C376*D376</f>
        <v>0</v>
      </c>
      <c r="F376" s="17"/>
      <c r="G376" s="17"/>
      <c r="H376" s="15"/>
      <c r="I376" s="213"/>
      <c r="J376" s="213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1.25" customHeight="1" x14ac:dyDescent="0.25">
      <c r="A377" s="293" t="s">
        <v>329</v>
      </c>
      <c r="B377" s="294" t="s">
        <v>255</v>
      </c>
      <c r="C377" s="292">
        <f>C360</f>
        <v>4</v>
      </c>
      <c r="D377" s="313"/>
      <c r="E377" s="295">
        <f>C377*D377</f>
        <v>0</v>
      </c>
      <c r="F377" s="17"/>
      <c r="G377" s="17"/>
      <c r="H377" s="15"/>
      <c r="I377" s="213"/>
      <c r="J377" s="213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1.25" customHeight="1" x14ac:dyDescent="0.25">
      <c r="A378" s="293" t="s">
        <v>286</v>
      </c>
      <c r="B378" s="294" t="s">
        <v>255</v>
      </c>
      <c r="C378" s="292">
        <f>C360</f>
        <v>4</v>
      </c>
      <c r="D378" s="313"/>
      <c r="E378" s="295">
        <f>C378*D378</f>
        <v>0</v>
      </c>
      <c r="F378" s="42"/>
      <c r="G378" s="17"/>
      <c r="H378" s="15"/>
      <c r="I378" s="213"/>
      <c r="J378" s="213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1.25" customHeight="1" x14ac:dyDescent="0.25">
      <c r="A379" s="181" t="s">
        <v>287</v>
      </c>
      <c r="B379" s="331" t="s">
        <v>232</v>
      </c>
      <c r="C379" s="331">
        <v>12</v>
      </c>
      <c r="D379" s="303">
        <f>SUM(E376:E378)</f>
        <v>0</v>
      </c>
      <c r="E379" s="303">
        <f>D379/C379</f>
        <v>0</v>
      </c>
      <c r="F379" s="17"/>
      <c r="G379" s="17"/>
      <c r="H379" s="15"/>
      <c r="I379" s="213"/>
      <c r="J379" s="213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1.25" customHeight="1" x14ac:dyDescent="0.25">
      <c r="A380" s="15"/>
      <c r="B380" s="15"/>
      <c r="C380" s="15"/>
      <c r="D380" s="205" t="s">
        <v>239</v>
      </c>
      <c r="E380" s="300">
        <f>$B$101</f>
        <v>1</v>
      </c>
      <c r="F380" s="301">
        <f>E379*E380</f>
        <v>0</v>
      </c>
      <c r="G380" s="17"/>
      <c r="H380" s="15"/>
      <c r="I380" s="213"/>
      <c r="J380" s="213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1.25" customHeight="1" x14ac:dyDescent="0.25">
      <c r="A381" s="15"/>
      <c r="B381" s="15"/>
      <c r="C381" s="15"/>
      <c r="D381" s="17"/>
      <c r="E381" s="17"/>
      <c r="F381" s="17"/>
      <c r="G381" s="17"/>
      <c r="H381" s="15"/>
      <c r="I381" s="213"/>
      <c r="J381" s="213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1.25" customHeight="1" x14ac:dyDescent="0.25">
      <c r="A382" s="15" t="s">
        <v>330</v>
      </c>
      <c r="B382" s="215"/>
      <c r="C382" s="15"/>
      <c r="D382" s="17"/>
      <c r="E382" s="17"/>
      <c r="F382" s="17"/>
      <c r="G382" s="17"/>
      <c r="H382" s="15"/>
      <c r="I382" s="213"/>
      <c r="J382" s="213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1.25" customHeight="1" x14ac:dyDescent="0.25">
      <c r="A383" s="15"/>
      <c r="B383" s="215"/>
      <c r="C383" s="15"/>
      <c r="D383" s="17"/>
      <c r="E383" s="17"/>
      <c r="F383" s="17"/>
      <c r="G383" s="17"/>
      <c r="H383" s="15"/>
      <c r="I383" s="213"/>
      <c r="J383" s="213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1.25" customHeight="1" x14ac:dyDescent="0.25">
      <c r="A384" s="181" t="s">
        <v>289</v>
      </c>
      <c r="B384" s="333">
        <f>'0. Qtdades e Custos'!D5*0.8</f>
        <v>720</v>
      </c>
      <c r="C384" s="15" t="s">
        <v>331</v>
      </c>
      <c r="D384" s="17"/>
      <c r="E384" s="17"/>
      <c r="F384" s="17"/>
      <c r="G384" s="17"/>
      <c r="H384" s="15"/>
      <c r="I384" s="213"/>
      <c r="J384" s="213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334" t="s">
        <v>290</v>
      </c>
      <c r="B385" s="335">
        <f>'0. Qtdades e Custos'!Y58</f>
        <v>0</v>
      </c>
      <c r="C385" s="15"/>
      <c r="D385" s="17"/>
      <c r="E385" s="17"/>
      <c r="F385" s="17"/>
      <c r="G385" s="17"/>
      <c r="H385" s="15"/>
      <c r="I385" s="213"/>
      <c r="J385" s="213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1.25" customHeight="1" x14ac:dyDescent="0.25">
      <c r="A386" s="15"/>
      <c r="B386" s="215"/>
      <c r="C386" s="15"/>
      <c r="D386" s="17"/>
      <c r="E386" s="17"/>
      <c r="F386" s="17"/>
      <c r="G386" s="17"/>
      <c r="H386" s="15"/>
      <c r="I386" s="213"/>
      <c r="J386" s="213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1.25" customHeight="1" x14ac:dyDescent="0.25">
      <c r="A387" s="284" t="s">
        <v>227</v>
      </c>
      <c r="B387" s="285" t="s">
        <v>98</v>
      </c>
      <c r="C387" s="285" t="s">
        <v>291</v>
      </c>
      <c r="D387" s="286" t="s">
        <v>228</v>
      </c>
      <c r="E387" s="286" t="s">
        <v>229</v>
      </c>
      <c r="F387" s="287" t="s">
        <v>230</v>
      </c>
      <c r="G387" s="17"/>
      <c r="H387" s="15"/>
      <c r="I387" s="213"/>
      <c r="J387" s="213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1.25" customHeight="1" x14ac:dyDescent="0.25">
      <c r="A388" s="293" t="s">
        <v>292</v>
      </c>
      <c r="B388" s="294" t="s">
        <v>293</v>
      </c>
      <c r="C388" s="336">
        <f>B385</f>
        <v>0</v>
      </c>
      <c r="D388" s="337"/>
      <c r="E388" s="292"/>
      <c r="F388" s="17"/>
      <c r="G388" s="17"/>
      <c r="H388" s="15"/>
      <c r="I388" s="213"/>
      <c r="J388" s="213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31.5" customHeight="1" x14ac:dyDescent="0.25">
      <c r="A389" s="334" t="s">
        <v>294</v>
      </c>
      <c r="B389" s="294" t="s">
        <v>295</v>
      </c>
      <c r="C389" s="295">
        <f>C388</f>
        <v>0</v>
      </c>
      <c r="D389" s="338"/>
      <c r="E389" s="295">
        <f>C389*D388</f>
        <v>0</v>
      </c>
      <c r="F389" s="17"/>
      <c r="G389" s="17"/>
      <c r="H389" s="15"/>
      <c r="I389" s="213"/>
      <c r="J389" s="213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1.25" customHeight="1" x14ac:dyDescent="0.25">
      <c r="A390" s="15"/>
      <c r="B390" s="15"/>
      <c r="C390" s="15"/>
      <c r="D390" s="17"/>
      <c r="E390" s="17"/>
      <c r="F390" s="327">
        <f>SUM(E388:E389)</f>
        <v>0</v>
      </c>
      <c r="G390" s="17"/>
      <c r="H390" s="15"/>
      <c r="I390" s="213"/>
      <c r="J390" s="213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1.25" customHeight="1" x14ac:dyDescent="0.25">
      <c r="A391" s="15"/>
      <c r="B391" s="15"/>
      <c r="C391" s="15"/>
      <c r="D391" s="17"/>
      <c r="E391" s="17"/>
      <c r="F391" s="17"/>
      <c r="G391" s="17"/>
      <c r="H391" s="15"/>
      <c r="I391" s="213"/>
      <c r="J391" s="213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1.25" customHeight="1" x14ac:dyDescent="0.25">
      <c r="A392" s="15" t="s">
        <v>332</v>
      </c>
      <c r="B392" s="15"/>
      <c r="C392" s="15"/>
      <c r="D392" s="17"/>
      <c r="E392" s="17"/>
      <c r="F392" s="17"/>
      <c r="G392" s="17"/>
      <c r="H392" s="15"/>
      <c r="I392" s="213"/>
      <c r="J392" s="213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1.25" customHeight="1" x14ac:dyDescent="0.25">
      <c r="A393" s="284" t="s">
        <v>227</v>
      </c>
      <c r="B393" s="285" t="s">
        <v>98</v>
      </c>
      <c r="C393" s="285" t="s">
        <v>55</v>
      </c>
      <c r="D393" s="286" t="s">
        <v>228</v>
      </c>
      <c r="E393" s="286" t="s">
        <v>229</v>
      </c>
      <c r="F393" s="287" t="s">
        <v>230</v>
      </c>
      <c r="G393" s="17"/>
      <c r="H393" s="15"/>
      <c r="I393" s="213"/>
      <c r="J393" s="213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1.25" customHeight="1" x14ac:dyDescent="0.25">
      <c r="A394" s="370" t="s">
        <v>333</v>
      </c>
      <c r="B394" s="371" t="s">
        <v>334</v>
      </c>
      <c r="C394" s="340">
        <f>'0. Qtdades e Custos'!S58/('0. Qtdades e Custos'!Q58*12)</f>
        <v>1.1666666666666665E-2</v>
      </c>
      <c r="D394" s="291">
        <f>D354</f>
        <v>0</v>
      </c>
      <c r="E394" s="292">
        <f>C394*D394</f>
        <v>0</v>
      </c>
      <c r="F394" s="17"/>
      <c r="G394" s="17"/>
      <c r="H394" s="15"/>
      <c r="I394" s="213"/>
      <c r="J394" s="213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1.25" customHeight="1" x14ac:dyDescent="0.25">
      <c r="A395" s="15"/>
      <c r="B395" s="15"/>
      <c r="C395" s="15"/>
      <c r="D395" s="17"/>
      <c r="E395" s="17"/>
      <c r="F395" s="327">
        <f>E394</f>
        <v>0</v>
      </c>
      <c r="G395" s="17"/>
      <c r="H395" s="15"/>
      <c r="I395" s="213"/>
      <c r="J395" s="213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1.25" customHeight="1" x14ac:dyDescent="0.25">
      <c r="A396" s="15"/>
      <c r="B396" s="15"/>
      <c r="C396" s="15"/>
      <c r="D396" s="17"/>
      <c r="E396" s="17"/>
      <c r="F396" s="17"/>
      <c r="G396" s="17"/>
      <c r="H396" s="15"/>
      <c r="I396" s="213"/>
      <c r="J396" s="213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1.25" customHeight="1" x14ac:dyDescent="0.25">
      <c r="A397" s="15" t="s">
        <v>335</v>
      </c>
      <c r="B397" s="15"/>
      <c r="C397" s="15"/>
      <c r="D397" s="17"/>
      <c r="E397" s="17"/>
      <c r="F397" s="17"/>
      <c r="G397" s="17"/>
      <c r="H397" s="15"/>
      <c r="I397" s="213"/>
      <c r="J397" s="213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1.25" customHeight="1" x14ac:dyDescent="0.25">
      <c r="A398" s="284" t="s">
        <v>227</v>
      </c>
      <c r="B398" s="285" t="s">
        <v>98</v>
      </c>
      <c r="C398" s="285" t="s">
        <v>55</v>
      </c>
      <c r="D398" s="286" t="s">
        <v>228</v>
      </c>
      <c r="E398" s="286" t="s">
        <v>229</v>
      </c>
      <c r="F398" s="287" t="s">
        <v>230</v>
      </c>
      <c r="G398" s="17"/>
      <c r="H398" s="15"/>
      <c r="I398" s="213"/>
      <c r="J398" s="213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1.25" customHeight="1" x14ac:dyDescent="0.25">
      <c r="A399" s="289" t="s">
        <v>336</v>
      </c>
      <c r="B399" s="290" t="s">
        <v>255</v>
      </c>
      <c r="C399" s="341">
        <v>2</v>
      </c>
      <c r="D399" s="291"/>
      <c r="E399" s="292">
        <f>C399*D399</f>
        <v>0</v>
      </c>
      <c r="F399" s="17"/>
      <c r="G399" s="17"/>
      <c r="H399" s="15"/>
      <c r="I399" s="213"/>
      <c r="J399" s="213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1.25" customHeight="1" x14ac:dyDescent="0.25">
      <c r="A400" s="289" t="s">
        <v>302</v>
      </c>
      <c r="B400" s="290" t="s">
        <v>255</v>
      </c>
      <c r="C400" s="341">
        <v>1</v>
      </c>
      <c r="D400" s="292"/>
      <c r="E400" s="292"/>
      <c r="F400" s="17"/>
      <c r="G400" s="17"/>
      <c r="H400" s="15"/>
      <c r="I400" s="213"/>
      <c r="J400" s="213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1.25" customHeight="1" x14ac:dyDescent="0.25">
      <c r="A401" s="289" t="s">
        <v>303</v>
      </c>
      <c r="B401" s="290" t="s">
        <v>255</v>
      </c>
      <c r="C401" s="292">
        <f>C399*C400</f>
        <v>2</v>
      </c>
      <c r="D401" s="291"/>
      <c r="E401" s="292">
        <f>C401*D401</f>
        <v>0</v>
      </c>
      <c r="F401" s="17"/>
      <c r="G401" s="17"/>
      <c r="H401" s="15"/>
      <c r="I401" s="213"/>
      <c r="J401" s="213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1.25" customHeight="1" x14ac:dyDescent="0.25">
      <c r="A402" s="293" t="s">
        <v>304</v>
      </c>
      <c r="B402" s="294" t="s">
        <v>305</v>
      </c>
      <c r="C402" s="342">
        <v>1350</v>
      </c>
      <c r="D402" s="295">
        <f>E399+E401</f>
        <v>0</v>
      </c>
      <c r="E402" s="295">
        <f>IFERROR(D402/C402,"-")</f>
        <v>0</v>
      </c>
      <c r="F402" s="17"/>
      <c r="G402" s="17"/>
      <c r="H402" s="15"/>
      <c r="I402" s="213"/>
      <c r="J402" s="213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1.25" customHeight="1" x14ac:dyDescent="0.25">
      <c r="A403" s="293" t="s">
        <v>306</v>
      </c>
      <c r="B403" s="294" t="s">
        <v>307</v>
      </c>
      <c r="C403" s="307">
        <f>B384</f>
        <v>720</v>
      </c>
      <c r="D403" s="295">
        <f>E402</f>
        <v>0</v>
      </c>
      <c r="E403" s="295">
        <f>IFERROR(C403*D403,0)</f>
        <v>0</v>
      </c>
      <c r="F403" s="17"/>
      <c r="G403" s="17"/>
      <c r="H403" s="15"/>
      <c r="I403" s="213"/>
      <c r="J403" s="213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1.25" customHeight="1" x14ac:dyDescent="0.25">
      <c r="A404" s="289" t="s">
        <v>337</v>
      </c>
      <c r="B404" s="290" t="s">
        <v>255</v>
      </c>
      <c r="C404" s="341">
        <v>2</v>
      </c>
      <c r="D404" s="291"/>
      <c r="E404" s="292">
        <f>C404*D404</f>
        <v>0</v>
      </c>
      <c r="F404" s="17"/>
      <c r="G404" s="17"/>
      <c r="H404" s="15"/>
      <c r="I404" s="213"/>
      <c r="J404" s="213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1.25" customHeight="1" x14ac:dyDescent="0.25">
      <c r="A405" s="289" t="s">
        <v>302</v>
      </c>
      <c r="B405" s="290" t="s">
        <v>255</v>
      </c>
      <c r="C405" s="341">
        <v>1</v>
      </c>
      <c r="D405" s="292"/>
      <c r="E405" s="292"/>
      <c r="F405" s="17"/>
      <c r="G405" s="17"/>
      <c r="H405" s="15"/>
      <c r="I405" s="213"/>
      <c r="J405" s="213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1.25" customHeight="1" x14ac:dyDescent="0.25">
      <c r="A406" s="289" t="s">
        <v>303</v>
      </c>
      <c r="B406" s="290" t="s">
        <v>255</v>
      </c>
      <c r="C406" s="292">
        <f>C404*C405</f>
        <v>2</v>
      </c>
      <c r="D406" s="291"/>
      <c r="E406" s="292">
        <f>C406*D406</f>
        <v>0</v>
      </c>
      <c r="F406" s="17"/>
      <c r="G406" s="17"/>
      <c r="H406" s="15"/>
      <c r="I406" s="213"/>
      <c r="J406" s="213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1.25" customHeight="1" x14ac:dyDescent="0.25">
      <c r="A407" s="293" t="s">
        <v>304</v>
      </c>
      <c r="B407" s="294" t="s">
        <v>305</v>
      </c>
      <c r="C407" s="342">
        <v>1350</v>
      </c>
      <c r="D407" s="295">
        <f>E404+E406</f>
        <v>0</v>
      </c>
      <c r="E407" s="295">
        <f>IFERROR(D407/C407,"-")</f>
        <v>0</v>
      </c>
      <c r="F407" s="17"/>
      <c r="G407" s="17"/>
      <c r="H407" s="15"/>
      <c r="I407" s="213"/>
      <c r="J407" s="213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1.25" customHeight="1" x14ac:dyDescent="0.25">
      <c r="A408" s="293" t="s">
        <v>306</v>
      </c>
      <c r="B408" s="294" t="s">
        <v>307</v>
      </c>
      <c r="C408" s="307">
        <f>B307</f>
        <v>720</v>
      </c>
      <c r="D408" s="295">
        <f>E407</f>
        <v>0</v>
      </c>
      <c r="E408" s="295">
        <f>IFERROR(C408*D408,0)</f>
        <v>0</v>
      </c>
      <c r="F408" s="17"/>
      <c r="G408" s="17"/>
      <c r="H408" s="15"/>
      <c r="I408" s="213"/>
      <c r="J408" s="213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1.25" customHeight="1" x14ac:dyDescent="0.25">
      <c r="A409" s="15"/>
      <c r="B409" s="15"/>
      <c r="C409" s="15"/>
      <c r="D409" s="17"/>
      <c r="E409" s="17"/>
      <c r="F409" s="327">
        <f>E408+E403</f>
        <v>0</v>
      </c>
      <c r="G409" s="17"/>
      <c r="H409" s="15"/>
      <c r="I409" s="213"/>
      <c r="J409" s="213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1.25" customHeight="1" x14ac:dyDescent="0.25">
      <c r="A410" s="347" t="s">
        <v>338</v>
      </c>
      <c r="B410" s="347"/>
      <c r="C410" s="347"/>
      <c r="D410" s="348"/>
      <c r="E410" s="348"/>
      <c r="F410" s="348"/>
      <c r="G410" s="17"/>
      <c r="H410" s="15"/>
      <c r="I410" s="213"/>
      <c r="J410" s="213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1.25" customHeight="1" x14ac:dyDescent="0.25">
      <c r="A411" s="349" t="s">
        <v>227</v>
      </c>
      <c r="B411" s="350" t="s">
        <v>98</v>
      </c>
      <c r="C411" s="350" t="s">
        <v>55</v>
      </c>
      <c r="D411" s="351" t="s">
        <v>228</v>
      </c>
      <c r="E411" s="351" t="s">
        <v>229</v>
      </c>
      <c r="F411" s="352" t="s">
        <v>312</v>
      </c>
      <c r="G411" s="17"/>
      <c r="H411" s="15"/>
      <c r="I411" s="213"/>
      <c r="J411" s="213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1.25" customHeight="1" x14ac:dyDescent="0.25">
      <c r="A412" s="353" t="s">
        <v>313</v>
      </c>
      <c r="B412" s="322" t="s">
        <v>314</v>
      </c>
      <c r="C412" s="322">
        <v>4</v>
      </c>
      <c r="D412" s="354">
        <f>'0. Qtdades e Custos'!D225</f>
        <v>0</v>
      </c>
      <c r="E412" s="355">
        <f>D412*C412</f>
        <v>0</v>
      </c>
      <c r="F412" s="356"/>
      <c r="G412" s="17"/>
      <c r="H412" s="15"/>
      <c r="I412" s="213"/>
      <c r="J412" s="213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1.25" customHeight="1" x14ac:dyDescent="0.25">
      <c r="A413" s="353" t="s">
        <v>315</v>
      </c>
      <c r="B413" s="322" t="s">
        <v>232</v>
      </c>
      <c r="C413" s="322">
        <v>60</v>
      </c>
      <c r="D413" s="355">
        <f>D412</f>
        <v>0</v>
      </c>
      <c r="E413" s="355">
        <f>D413/C413</f>
        <v>0</v>
      </c>
      <c r="F413" s="356"/>
      <c r="G413" s="17"/>
      <c r="H413" s="15"/>
      <c r="I413" s="213"/>
      <c r="J413" s="213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1.25" customHeight="1" x14ac:dyDescent="0.25">
      <c r="A414" s="353" t="s">
        <v>316</v>
      </c>
      <c r="B414" s="322" t="s">
        <v>317</v>
      </c>
      <c r="C414" s="322">
        <v>4</v>
      </c>
      <c r="D414" s="354">
        <f>'0. Qtdades e Custos'!D226</f>
        <v>0</v>
      </c>
      <c r="E414" s="355">
        <f>D414*C414</f>
        <v>0</v>
      </c>
      <c r="F414" s="356"/>
      <c r="G414" s="17"/>
      <c r="H414" s="15"/>
      <c r="I414" s="213"/>
      <c r="J414" s="213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1.25" customHeight="1" x14ac:dyDescent="0.25">
      <c r="A415" s="357" t="s">
        <v>318</v>
      </c>
      <c r="B415" s="358"/>
      <c r="C415" s="359"/>
      <c r="D415" s="360"/>
      <c r="E415" s="361">
        <f>E414+E413</f>
        <v>0</v>
      </c>
      <c r="F415" s="356"/>
      <c r="G415" s="17"/>
      <c r="H415" s="15"/>
      <c r="I415" s="213"/>
      <c r="J415" s="213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1.25" customHeight="1" x14ac:dyDescent="0.25">
      <c r="A416" s="347"/>
      <c r="B416" s="347"/>
      <c r="C416" s="347"/>
      <c r="D416" s="362" t="s">
        <v>239</v>
      </c>
      <c r="E416" s="363">
        <v>1</v>
      </c>
      <c r="F416" s="364">
        <f>(E415)*E416</f>
        <v>0</v>
      </c>
      <c r="G416" s="17"/>
      <c r="H416" s="15"/>
      <c r="I416" s="213"/>
      <c r="J416" s="213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1.25" customHeight="1" x14ac:dyDescent="0.25">
      <c r="A417" s="347"/>
      <c r="B417" s="347"/>
      <c r="C417" s="347"/>
      <c r="D417" s="348"/>
      <c r="E417" s="348"/>
      <c r="F417" s="348"/>
      <c r="G417" s="17"/>
      <c r="H417" s="15"/>
      <c r="I417" s="213"/>
      <c r="J417" s="213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1.25" customHeight="1" x14ac:dyDescent="0.25">
      <c r="A418" s="365" t="s">
        <v>319</v>
      </c>
      <c r="B418" s="366"/>
      <c r="C418" s="366"/>
      <c r="D418" s="367"/>
      <c r="E418" s="368"/>
      <c r="F418" s="369">
        <f>F416</f>
        <v>0</v>
      </c>
      <c r="G418" s="17"/>
      <c r="H418" s="15"/>
      <c r="I418" s="213"/>
      <c r="J418" s="213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1.25" customHeight="1" x14ac:dyDescent="0.25">
      <c r="A419" s="15"/>
      <c r="B419" s="15"/>
      <c r="C419" s="15"/>
      <c r="D419" s="17"/>
      <c r="E419" s="17"/>
      <c r="F419" s="17"/>
      <c r="G419" s="17"/>
      <c r="H419" s="15"/>
      <c r="I419" s="213"/>
      <c r="J419" s="213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1.25" customHeight="1" x14ac:dyDescent="0.25">
      <c r="A420" s="15"/>
      <c r="B420" s="15"/>
      <c r="C420" s="15"/>
      <c r="D420" s="17"/>
      <c r="E420" s="17"/>
      <c r="F420" s="17"/>
      <c r="G420" s="17"/>
      <c r="H420" s="15"/>
      <c r="I420" s="213"/>
      <c r="J420" s="213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1.25" customHeight="1" x14ac:dyDescent="0.25">
      <c r="A421" s="15"/>
      <c r="B421" s="15"/>
      <c r="C421" s="15"/>
      <c r="D421" s="17"/>
      <c r="E421" s="17"/>
      <c r="F421" s="17"/>
      <c r="G421" s="17"/>
      <c r="H421" s="15"/>
      <c r="I421" s="213"/>
      <c r="J421" s="213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1.25" customHeight="1" x14ac:dyDescent="0.25">
      <c r="A422" s="15"/>
      <c r="B422" s="15"/>
      <c r="C422" s="15"/>
      <c r="D422" s="17"/>
      <c r="E422" s="17"/>
      <c r="F422" s="17"/>
      <c r="G422" s="17"/>
      <c r="H422" s="15"/>
      <c r="I422" s="213"/>
      <c r="J422" s="213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3.25" customHeight="1" x14ac:dyDescent="0.25">
      <c r="A423" s="601" t="s">
        <v>339</v>
      </c>
      <c r="B423" s="601"/>
      <c r="C423" s="601"/>
      <c r="D423" s="601"/>
      <c r="E423" s="601"/>
      <c r="F423" s="601"/>
      <c r="G423" s="17"/>
      <c r="H423" s="15"/>
      <c r="I423" s="213"/>
      <c r="J423" s="213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1.25" customHeight="1" x14ac:dyDescent="0.25">
      <c r="A424" s="15"/>
      <c r="B424" s="15"/>
      <c r="C424" s="15"/>
      <c r="D424" s="17"/>
      <c r="E424" s="17"/>
      <c r="F424" s="17"/>
      <c r="G424" s="17"/>
      <c r="H424" s="15"/>
      <c r="I424" s="213"/>
      <c r="J424" s="213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1.25" customHeight="1" x14ac:dyDescent="0.25">
      <c r="A425" s="211" t="s">
        <v>340</v>
      </c>
      <c r="B425" s="15"/>
      <c r="C425" s="15"/>
      <c r="D425" s="17"/>
      <c r="E425" s="17"/>
      <c r="F425" s="17"/>
      <c r="G425" s="17"/>
      <c r="H425" s="15"/>
      <c r="I425" s="213"/>
      <c r="J425" s="213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1.25" customHeight="1" x14ac:dyDescent="0.25">
      <c r="A426" s="284" t="s">
        <v>227</v>
      </c>
      <c r="B426" s="285" t="s">
        <v>98</v>
      </c>
      <c r="C426" s="285" t="s">
        <v>55</v>
      </c>
      <c r="D426" s="286" t="s">
        <v>228</v>
      </c>
      <c r="E426" s="286" t="s">
        <v>229</v>
      </c>
      <c r="F426" s="287" t="s">
        <v>230</v>
      </c>
      <c r="G426" s="17"/>
      <c r="H426" s="15"/>
      <c r="I426" s="213"/>
      <c r="J426" s="213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1.25" customHeight="1" x14ac:dyDescent="0.25">
      <c r="A427" s="289" t="s">
        <v>269</v>
      </c>
      <c r="B427" s="290" t="s">
        <v>255</v>
      </c>
      <c r="C427" s="290">
        <v>1</v>
      </c>
      <c r="D427" s="291">
        <f>'0. Qtdades e Custos'!N62</f>
        <v>0</v>
      </c>
      <c r="E427" s="292">
        <f>C427*D427</f>
        <v>0</v>
      </c>
      <c r="F427" s="17"/>
      <c r="G427" s="17"/>
      <c r="H427" s="15"/>
      <c r="I427" s="213"/>
      <c r="J427" s="213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1.25" customHeight="1" x14ac:dyDescent="0.25">
      <c r="A428" s="293" t="s">
        <v>270</v>
      </c>
      <c r="B428" s="294" t="s">
        <v>271</v>
      </c>
      <c r="C428" s="321">
        <f>'0. Qtdades e Custos'!Q62</f>
        <v>6</v>
      </c>
      <c r="D428" s="295"/>
      <c r="E428" s="295"/>
      <c r="F428" s="17"/>
      <c r="G428" s="17"/>
      <c r="H428" s="15"/>
      <c r="I428" s="213"/>
      <c r="J428" s="213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1.25" customHeight="1" x14ac:dyDescent="0.25">
      <c r="A429" s="293" t="s">
        <v>272</v>
      </c>
      <c r="B429" s="294" t="s">
        <v>271</v>
      </c>
      <c r="C429" s="299">
        <v>0</v>
      </c>
      <c r="D429" s="295"/>
      <c r="E429" s="295"/>
      <c r="F429" s="142"/>
      <c r="G429" s="17"/>
      <c r="H429" s="15"/>
      <c r="I429" s="213"/>
      <c r="J429" s="213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1.25" customHeight="1" x14ac:dyDescent="0.25">
      <c r="A430" s="293" t="s">
        <v>273</v>
      </c>
      <c r="B430" s="294" t="s">
        <v>207</v>
      </c>
      <c r="C430" s="298">
        <f>IFERROR(VLOOKUP(C428,'9. Depreciação'!A3:B17,2,0),0)</f>
        <v>58.18</v>
      </c>
      <c r="D430" s="295">
        <f>E427</f>
        <v>0</v>
      </c>
      <c r="E430" s="295">
        <f>C430*D430/100</f>
        <v>0</v>
      </c>
      <c r="F430" s="17"/>
      <c r="G430" s="17"/>
      <c r="H430" s="15"/>
      <c r="I430" s="213"/>
      <c r="J430" s="213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1.25" customHeight="1" x14ac:dyDescent="0.25">
      <c r="A431" s="328" t="s">
        <v>341</v>
      </c>
      <c r="B431" s="329" t="s">
        <v>232</v>
      </c>
      <c r="C431" s="329">
        <f>C428*12</f>
        <v>72</v>
      </c>
      <c r="D431" s="330">
        <f>IF(C429&lt;=C428,E430,0)</f>
        <v>0</v>
      </c>
      <c r="E431" s="330">
        <f>IFERROR(D431/C431,0)</f>
        <v>0</v>
      </c>
      <c r="F431" s="17"/>
      <c r="G431" s="17"/>
      <c r="H431" s="15"/>
      <c r="I431" s="213"/>
      <c r="J431" s="213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1.25" customHeight="1" x14ac:dyDescent="0.25">
      <c r="A432" s="289" t="s">
        <v>342</v>
      </c>
      <c r="B432" s="290" t="s">
        <v>255</v>
      </c>
      <c r="C432" s="290">
        <f>C427</f>
        <v>1</v>
      </c>
      <c r="D432" s="291">
        <f>'0. Qtdades e Custos'!N63</f>
        <v>0</v>
      </c>
      <c r="E432" s="292">
        <f>C432*D432</f>
        <v>0</v>
      </c>
      <c r="F432" s="17"/>
      <c r="G432" s="17"/>
      <c r="H432" s="15"/>
      <c r="I432" s="213"/>
      <c r="J432" s="213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1.25" customHeight="1" x14ac:dyDescent="0.25">
      <c r="A433" s="293" t="s">
        <v>343</v>
      </c>
      <c r="B433" s="294" t="s">
        <v>271</v>
      </c>
      <c r="C433" s="321">
        <f>'0. Qtdades e Custos'!Q62</f>
        <v>6</v>
      </c>
      <c r="D433" s="295"/>
      <c r="E433" s="295"/>
      <c r="F433" s="17"/>
      <c r="G433" s="17"/>
      <c r="H433" s="15"/>
      <c r="I433" s="213"/>
      <c r="J433" s="213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1.25" customHeight="1" x14ac:dyDescent="0.25">
      <c r="A434" s="293" t="s">
        <v>344</v>
      </c>
      <c r="B434" s="294" t="s">
        <v>271</v>
      </c>
      <c r="C434" s="299">
        <v>0</v>
      </c>
      <c r="D434" s="295"/>
      <c r="E434" s="295"/>
      <c r="F434" s="142"/>
      <c r="G434" s="17"/>
      <c r="H434" s="15"/>
      <c r="I434" s="213"/>
      <c r="J434" s="213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1.25" customHeight="1" x14ac:dyDescent="0.25">
      <c r="A435" s="293" t="s">
        <v>345</v>
      </c>
      <c r="B435" s="294" t="s">
        <v>207</v>
      </c>
      <c r="C435" s="372">
        <f>IFERROR(VLOOKUP(C433,'9. Depreciação'!A3:B17,2,0),0)</f>
        <v>58.18</v>
      </c>
      <c r="D435" s="295">
        <f>E432</f>
        <v>0</v>
      </c>
      <c r="E435" s="295">
        <f>C435*D435/100</f>
        <v>0</v>
      </c>
      <c r="F435" s="17"/>
      <c r="G435" s="17"/>
      <c r="H435" s="15"/>
      <c r="I435" s="213"/>
      <c r="J435" s="213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1.25" customHeight="1" x14ac:dyDescent="0.25">
      <c r="A436" s="181" t="s">
        <v>346</v>
      </c>
      <c r="B436" s="331" t="s">
        <v>232</v>
      </c>
      <c r="C436" s="331">
        <f>C433*12</f>
        <v>72</v>
      </c>
      <c r="D436" s="303">
        <f>IF(C434&lt;=C433,E435,0)</f>
        <v>0</v>
      </c>
      <c r="E436" s="303">
        <f>IFERROR(D436/C436,0)</f>
        <v>0</v>
      </c>
      <c r="F436" s="17"/>
      <c r="G436" s="17"/>
      <c r="H436" s="15"/>
      <c r="I436" s="213"/>
      <c r="J436" s="213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1.25" customHeight="1" x14ac:dyDescent="0.25">
      <c r="A437" s="296" t="s">
        <v>275</v>
      </c>
      <c r="B437" s="143"/>
      <c r="C437" s="143"/>
      <c r="D437" s="42"/>
      <c r="E437" s="297">
        <f>E431+E436</f>
        <v>0</v>
      </c>
      <c r="F437" s="17"/>
      <c r="G437" s="17"/>
      <c r="H437" s="15"/>
      <c r="I437" s="213"/>
      <c r="J437" s="213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1.25" customHeight="1" x14ac:dyDescent="0.25">
      <c r="A438" s="181" t="s">
        <v>276</v>
      </c>
      <c r="B438" s="331" t="s">
        <v>255</v>
      </c>
      <c r="C438" s="321">
        <f>'0. Qtdades e Custos'!P62</f>
        <v>3</v>
      </c>
      <c r="D438" s="303">
        <f>E437</f>
        <v>0</v>
      </c>
      <c r="E438" s="297">
        <f>C438*D438</f>
        <v>0</v>
      </c>
      <c r="F438" s="17"/>
      <c r="G438" s="17"/>
      <c r="H438" s="15"/>
      <c r="I438" s="213"/>
      <c r="J438" s="213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1.25" customHeight="1" x14ac:dyDescent="0.25">
      <c r="A439" s="214"/>
      <c r="B439" s="214"/>
      <c r="C439" s="214"/>
      <c r="D439" s="205" t="s">
        <v>239</v>
      </c>
      <c r="E439" s="300">
        <f>$B$101</f>
        <v>1</v>
      </c>
      <c r="F439" s="327">
        <f>E438*E439</f>
        <v>0</v>
      </c>
      <c r="G439" s="17"/>
      <c r="H439" s="15"/>
      <c r="I439" s="213"/>
      <c r="J439" s="213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1.25" customHeight="1" x14ac:dyDescent="0.25">
      <c r="A440" s="15"/>
      <c r="B440" s="15"/>
      <c r="C440" s="15"/>
      <c r="D440" s="17"/>
      <c r="E440" s="17"/>
      <c r="F440" s="17"/>
      <c r="G440" s="17"/>
      <c r="H440" s="15"/>
      <c r="I440" s="213"/>
      <c r="J440" s="213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1.25" customHeight="1" x14ac:dyDescent="0.25">
      <c r="A441" s="211" t="s">
        <v>347</v>
      </c>
      <c r="B441" s="15"/>
      <c r="C441" s="15"/>
      <c r="D441" s="17"/>
      <c r="E441" s="17"/>
      <c r="F441" s="17"/>
      <c r="G441" s="17"/>
      <c r="H441" s="15"/>
      <c r="I441" s="213"/>
      <c r="J441" s="213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1.25" customHeight="1" x14ac:dyDescent="0.25">
      <c r="A442" s="284" t="s">
        <v>227</v>
      </c>
      <c r="B442" s="285" t="s">
        <v>98</v>
      </c>
      <c r="C442" s="285" t="s">
        <v>55</v>
      </c>
      <c r="D442" s="286" t="s">
        <v>228</v>
      </c>
      <c r="E442" s="286" t="s">
        <v>229</v>
      </c>
      <c r="F442" s="287" t="s">
        <v>230</v>
      </c>
      <c r="G442" s="17"/>
      <c r="H442" s="15"/>
      <c r="I442" s="213"/>
      <c r="J442" s="213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1.25" customHeight="1" x14ac:dyDescent="0.25">
      <c r="A443" s="289" t="s">
        <v>278</v>
      </c>
      <c r="B443" s="290" t="s">
        <v>255</v>
      </c>
      <c r="C443" s="290">
        <v>1</v>
      </c>
      <c r="D443" s="292">
        <f>D427</f>
        <v>0</v>
      </c>
      <c r="E443" s="292">
        <f>C443*D443</f>
        <v>0</v>
      </c>
      <c r="F443" s="142"/>
      <c r="G443" s="17"/>
      <c r="H443" s="15"/>
      <c r="I443" s="213"/>
      <c r="J443" s="213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1.25" customHeight="1" x14ac:dyDescent="0.25">
      <c r="A444" s="293" t="s">
        <v>279</v>
      </c>
      <c r="B444" s="294" t="s">
        <v>207</v>
      </c>
      <c r="C444" s="299">
        <v>14.75</v>
      </c>
      <c r="D444" s="295"/>
      <c r="E444" s="295"/>
      <c r="F444" s="142"/>
      <c r="G444" s="17"/>
      <c r="H444" s="15"/>
      <c r="I444" s="213"/>
      <c r="J444" s="213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1.25" customHeight="1" x14ac:dyDescent="0.25">
      <c r="A445" s="293" t="s">
        <v>280</v>
      </c>
      <c r="B445" s="294" t="s">
        <v>250</v>
      </c>
      <c r="C445" s="295">
        <f>IFERROR(IF(C429&lt;=C428,E427-(C430/(100*C428)*C429)*E427,E427-E430),0)</f>
        <v>0</v>
      </c>
      <c r="D445" s="295"/>
      <c r="E445" s="295"/>
      <c r="F445" s="142"/>
      <c r="G445" s="17"/>
      <c r="H445" s="15"/>
      <c r="I445" s="213"/>
      <c r="J445" s="213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1.25" customHeight="1" x14ac:dyDescent="0.25">
      <c r="A446" s="293" t="s">
        <v>281</v>
      </c>
      <c r="B446" s="294" t="s">
        <v>250</v>
      </c>
      <c r="C446" s="295">
        <f>IFERROR(IF(C429&gt;=C428,C445,((((C445)-(E427-E430))*(((C428-C429)+1)/(2*(C428-C429))))+(E427-E430))),0)</f>
        <v>0</v>
      </c>
      <c r="D446" s="295"/>
      <c r="E446" s="295"/>
      <c r="F446" s="142"/>
      <c r="G446" s="17"/>
      <c r="H446" s="15"/>
      <c r="I446" s="213"/>
      <c r="J446" s="213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1.25" customHeight="1" x14ac:dyDescent="0.25">
      <c r="A447" s="328" t="s">
        <v>282</v>
      </c>
      <c r="B447" s="329" t="s">
        <v>250</v>
      </c>
      <c r="C447" s="329"/>
      <c r="D447" s="330">
        <f>C444*C446/12/100</f>
        <v>0</v>
      </c>
      <c r="E447" s="330">
        <f>D447</f>
        <v>0</v>
      </c>
      <c r="F447" s="142"/>
      <c r="G447" s="17"/>
      <c r="H447" s="15"/>
      <c r="I447" s="213"/>
      <c r="J447" s="213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1.25" customHeight="1" x14ac:dyDescent="0.25">
      <c r="A448" s="289" t="s">
        <v>348</v>
      </c>
      <c r="B448" s="290" t="s">
        <v>255</v>
      </c>
      <c r="C448" s="290">
        <f>C432</f>
        <v>1</v>
      </c>
      <c r="D448" s="292">
        <f>D432</f>
        <v>0</v>
      </c>
      <c r="E448" s="292">
        <f>C448*D448</f>
        <v>0</v>
      </c>
      <c r="F448" s="142"/>
      <c r="G448" s="17"/>
      <c r="H448" s="15"/>
      <c r="I448" s="213"/>
      <c r="J448" s="213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1.25" customHeight="1" x14ac:dyDescent="0.25">
      <c r="A449" s="293" t="s">
        <v>279</v>
      </c>
      <c r="B449" s="294" t="s">
        <v>207</v>
      </c>
      <c r="C449" s="294">
        <f>C444</f>
        <v>14.75</v>
      </c>
      <c r="D449" s="295"/>
      <c r="E449" s="295"/>
      <c r="F449" s="142"/>
      <c r="G449" s="17"/>
      <c r="H449" s="15"/>
      <c r="I449" s="213"/>
      <c r="J449" s="213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1.25" customHeight="1" x14ac:dyDescent="0.25">
      <c r="A450" s="293" t="s">
        <v>349</v>
      </c>
      <c r="B450" s="294" t="s">
        <v>250</v>
      </c>
      <c r="C450" s="295">
        <f>IFERROR(IF(C434&lt;=C433,E432-(C435/(100*C433)*C434)*E432,E432-E435),0)</f>
        <v>0</v>
      </c>
      <c r="D450" s="295"/>
      <c r="E450" s="295"/>
      <c r="F450" s="142"/>
      <c r="G450" s="17"/>
      <c r="H450" s="15"/>
      <c r="I450" s="213"/>
      <c r="J450" s="213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1.25" customHeight="1" x14ac:dyDescent="0.25">
      <c r="A451" s="293" t="s">
        <v>350</v>
      </c>
      <c r="B451" s="294" t="s">
        <v>250</v>
      </c>
      <c r="C451" s="295">
        <f>IFERROR(IF(C434&gt;=C433,C450,((((C450)-(E432-E435))*(((C433-C434)+1)/(2*(C433-C434))))+(E432-E435))),0)</f>
        <v>0</v>
      </c>
      <c r="D451" s="295"/>
      <c r="E451" s="295"/>
      <c r="F451" s="142"/>
      <c r="G451" s="17"/>
      <c r="H451" s="15"/>
      <c r="I451" s="213"/>
      <c r="J451" s="213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1.25" customHeight="1" x14ac:dyDescent="0.25">
      <c r="A452" s="181" t="s">
        <v>351</v>
      </c>
      <c r="B452" s="331" t="s">
        <v>250</v>
      </c>
      <c r="C452" s="331"/>
      <c r="D452" s="303">
        <f>C449*C451/12/100</f>
        <v>0</v>
      </c>
      <c r="E452" s="303">
        <f>D452</f>
        <v>0</v>
      </c>
      <c r="F452" s="142"/>
      <c r="G452" s="17"/>
      <c r="H452" s="15"/>
      <c r="I452" s="213"/>
      <c r="J452" s="213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1.25" customHeight="1" x14ac:dyDescent="0.25">
      <c r="A453" s="296" t="s">
        <v>275</v>
      </c>
      <c r="B453" s="143"/>
      <c r="C453" s="143"/>
      <c r="D453" s="42"/>
      <c r="E453" s="297">
        <f>E447+E452</f>
        <v>0</v>
      </c>
      <c r="F453" s="142"/>
      <c r="G453" s="17"/>
      <c r="H453" s="15"/>
      <c r="I453" s="213"/>
      <c r="J453" s="213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1.25" customHeight="1" x14ac:dyDescent="0.25">
      <c r="A454" s="181" t="s">
        <v>276</v>
      </c>
      <c r="B454" s="331" t="s">
        <v>255</v>
      </c>
      <c r="C454" s="332">
        <f>C438</f>
        <v>3</v>
      </c>
      <c r="D454" s="303">
        <f>E453</f>
        <v>0</v>
      </c>
      <c r="E454" s="297">
        <f>C454*D454</f>
        <v>0</v>
      </c>
      <c r="F454" s="142"/>
      <c r="G454" s="17"/>
      <c r="H454" s="15"/>
      <c r="I454" s="213"/>
      <c r="J454" s="213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1.25" customHeight="1" x14ac:dyDescent="0.25">
      <c r="A455" s="15"/>
      <c r="B455" s="15"/>
      <c r="C455" s="141"/>
      <c r="D455" s="205" t="s">
        <v>239</v>
      </c>
      <c r="E455" s="300">
        <f>$B$101</f>
        <v>1</v>
      </c>
      <c r="F455" s="327">
        <f>E454*E455</f>
        <v>0</v>
      </c>
      <c r="G455" s="17"/>
      <c r="H455" s="15"/>
      <c r="I455" s="213"/>
      <c r="J455" s="213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1.25" customHeight="1" x14ac:dyDescent="0.25">
      <c r="A456" s="15"/>
      <c r="B456" s="15"/>
      <c r="C456" s="15"/>
      <c r="D456" s="17"/>
      <c r="E456" s="17"/>
      <c r="F456" s="17"/>
      <c r="G456" s="17"/>
      <c r="H456" s="15"/>
      <c r="I456" s="213"/>
      <c r="J456" s="213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1.25" customHeight="1" x14ac:dyDescent="0.25">
      <c r="A457" s="15" t="s">
        <v>352</v>
      </c>
      <c r="B457" s="15"/>
      <c r="C457" s="15"/>
      <c r="D457" s="17"/>
      <c r="E457" s="17"/>
      <c r="F457" s="17"/>
      <c r="G457" s="17"/>
      <c r="H457" s="15"/>
      <c r="I457" s="213"/>
      <c r="J457" s="213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1.25" customHeight="1" x14ac:dyDescent="0.25">
      <c r="A458" s="284" t="s">
        <v>227</v>
      </c>
      <c r="B458" s="285" t="s">
        <v>98</v>
      </c>
      <c r="C458" s="285" t="s">
        <v>55</v>
      </c>
      <c r="D458" s="286" t="s">
        <v>228</v>
      </c>
      <c r="E458" s="286" t="s">
        <v>229</v>
      </c>
      <c r="F458" s="287" t="s">
        <v>230</v>
      </c>
      <c r="G458" s="17"/>
      <c r="H458" s="15"/>
      <c r="I458" s="213"/>
      <c r="J458" s="213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1.25" customHeight="1" x14ac:dyDescent="0.25">
      <c r="A459" s="289" t="s">
        <v>284</v>
      </c>
      <c r="B459" s="290" t="s">
        <v>255</v>
      </c>
      <c r="C459" s="292">
        <f>C438</f>
        <v>3</v>
      </c>
      <c r="D459" s="292">
        <f>0.01*($E$277)</f>
        <v>0</v>
      </c>
      <c r="E459" s="292">
        <f>C459*D459</f>
        <v>0</v>
      </c>
      <c r="F459" s="17"/>
      <c r="G459" s="17"/>
      <c r="H459" s="15"/>
      <c r="I459" s="213"/>
      <c r="J459" s="213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1.25" customHeight="1" x14ac:dyDescent="0.25">
      <c r="A460" s="293" t="s">
        <v>329</v>
      </c>
      <c r="B460" s="294" t="s">
        <v>255</v>
      </c>
      <c r="C460" s="292">
        <f>C438</f>
        <v>3</v>
      </c>
      <c r="D460" s="313"/>
      <c r="E460" s="295">
        <f>C460*D460</f>
        <v>0</v>
      </c>
      <c r="F460" s="17"/>
      <c r="G460" s="17"/>
      <c r="H460" s="15"/>
      <c r="I460" s="213"/>
      <c r="J460" s="213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1.25" customHeight="1" x14ac:dyDescent="0.25">
      <c r="A461" s="293" t="s">
        <v>286</v>
      </c>
      <c r="B461" s="294" t="s">
        <v>255</v>
      </c>
      <c r="C461" s="292">
        <f>C438</f>
        <v>3</v>
      </c>
      <c r="D461" s="313"/>
      <c r="E461" s="295">
        <f>C461*D461</f>
        <v>0</v>
      </c>
      <c r="F461" s="42"/>
      <c r="G461" s="17"/>
      <c r="H461" s="15"/>
      <c r="I461" s="213"/>
      <c r="J461" s="213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1.25" customHeight="1" x14ac:dyDescent="0.25">
      <c r="A462" s="181" t="s">
        <v>287</v>
      </c>
      <c r="B462" s="331" t="s">
        <v>232</v>
      </c>
      <c r="C462" s="331">
        <v>12</v>
      </c>
      <c r="D462" s="303">
        <f>SUM(E459:E461)</f>
        <v>0</v>
      </c>
      <c r="E462" s="303">
        <f>D462/C462</f>
        <v>0</v>
      </c>
      <c r="F462" s="17"/>
      <c r="G462" s="17"/>
      <c r="H462" s="15"/>
      <c r="I462" s="213"/>
      <c r="J462" s="213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1.25" customHeight="1" x14ac:dyDescent="0.25">
      <c r="A463" s="15"/>
      <c r="B463" s="15"/>
      <c r="C463" s="15"/>
      <c r="D463" s="205" t="s">
        <v>239</v>
      </c>
      <c r="E463" s="300">
        <f>$B$101</f>
        <v>1</v>
      </c>
      <c r="F463" s="301">
        <f>E462*E463</f>
        <v>0</v>
      </c>
      <c r="G463" s="17"/>
      <c r="H463" s="15"/>
      <c r="I463" s="213"/>
      <c r="J463" s="213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1.25" customHeight="1" x14ac:dyDescent="0.25">
      <c r="A464" s="15"/>
      <c r="B464" s="15"/>
      <c r="C464" s="15"/>
      <c r="D464" s="17"/>
      <c r="E464" s="17"/>
      <c r="F464" s="17"/>
      <c r="G464" s="17"/>
      <c r="H464" s="15"/>
      <c r="I464" s="213"/>
      <c r="J464" s="213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1.25" customHeight="1" x14ac:dyDescent="0.25">
      <c r="A465" s="15" t="s">
        <v>353</v>
      </c>
      <c r="B465" s="215"/>
      <c r="C465" s="15"/>
      <c r="D465" s="17"/>
      <c r="E465" s="17"/>
      <c r="F465" s="17"/>
      <c r="G465" s="17"/>
      <c r="H465" s="15"/>
      <c r="I465" s="213"/>
      <c r="J465" s="213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1.25" customHeight="1" x14ac:dyDescent="0.25">
      <c r="A466" s="15"/>
      <c r="B466" s="215"/>
      <c r="C466" s="15"/>
      <c r="D466" s="17"/>
      <c r="E466" s="17"/>
      <c r="F466" s="17"/>
      <c r="G466" s="17"/>
      <c r="H466" s="15"/>
      <c r="I466" s="213"/>
      <c r="J466" s="213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1.25" customHeight="1" x14ac:dyDescent="0.25">
      <c r="A467" s="181" t="s">
        <v>289</v>
      </c>
      <c r="B467" s="333">
        <f>'0. Qtdades e Custos'!D5*0.8</f>
        <v>720</v>
      </c>
      <c r="C467" s="15" t="s">
        <v>331</v>
      </c>
      <c r="D467" s="17"/>
      <c r="E467" s="17"/>
      <c r="F467" s="17"/>
      <c r="G467" s="17"/>
      <c r="H467" s="15"/>
      <c r="I467" s="213"/>
      <c r="J467" s="213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334" t="s">
        <v>290</v>
      </c>
      <c r="B468" s="335">
        <f>'0. Qtdades e Custos'!Y62</f>
        <v>0</v>
      </c>
      <c r="C468" s="15"/>
      <c r="D468" s="17"/>
      <c r="E468" s="17"/>
      <c r="F468" s="17"/>
      <c r="G468" s="17"/>
      <c r="H468" s="15"/>
      <c r="I468" s="213"/>
      <c r="J468" s="213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1.25" customHeight="1" x14ac:dyDescent="0.25">
      <c r="A469" s="15"/>
      <c r="B469" s="215"/>
      <c r="C469" s="15"/>
      <c r="D469" s="17"/>
      <c r="E469" s="17"/>
      <c r="F469" s="17"/>
      <c r="G469" s="17"/>
      <c r="H469" s="15"/>
      <c r="I469" s="213"/>
      <c r="J469" s="213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1.25" customHeight="1" x14ac:dyDescent="0.25">
      <c r="A470" s="284" t="s">
        <v>227</v>
      </c>
      <c r="B470" s="285" t="s">
        <v>98</v>
      </c>
      <c r="C470" s="285" t="s">
        <v>291</v>
      </c>
      <c r="D470" s="286" t="s">
        <v>228</v>
      </c>
      <c r="E470" s="286" t="s">
        <v>229</v>
      </c>
      <c r="F470" s="287" t="s">
        <v>230</v>
      </c>
      <c r="G470" s="17"/>
      <c r="H470" s="15"/>
      <c r="I470" s="213"/>
      <c r="J470" s="213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1.25" customHeight="1" x14ac:dyDescent="0.25">
      <c r="A471" s="293" t="s">
        <v>292</v>
      </c>
      <c r="B471" s="294" t="s">
        <v>293</v>
      </c>
      <c r="C471" s="336">
        <f>B468</f>
        <v>0</v>
      </c>
      <c r="D471" s="337"/>
      <c r="E471" s="292"/>
      <c r="F471" s="17"/>
      <c r="G471" s="17"/>
      <c r="H471" s="15"/>
      <c r="I471" s="213"/>
      <c r="J471" s="213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6.25" customHeight="1" x14ac:dyDescent="0.25">
      <c r="A472" s="334" t="s">
        <v>294</v>
      </c>
      <c r="B472" s="294" t="s">
        <v>295</v>
      </c>
      <c r="C472" s="295">
        <f>C471</f>
        <v>0</v>
      </c>
      <c r="D472" s="338"/>
      <c r="E472" s="295">
        <f>C472*D471</f>
        <v>0</v>
      </c>
      <c r="F472" s="17"/>
      <c r="G472" s="17"/>
      <c r="H472" s="15"/>
      <c r="I472" s="213"/>
      <c r="J472" s="213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1.25" customHeight="1" x14ac:dyDescent="0.25">
      <c r="A473" s="15"/>
      <c r="B473" s="15"/>
      <c r="C473" s="15"/>
      <c r="D473" s="17"/>
      <c r="E473" s="17"/>
      <c r="F473" s="327">
        <f>SUM(E471:E472)</f>
        <v>0</v>
      </c>
      <c r="G473" s="17"/>
      <c r="H473" s="15"/>
      <c r="I473" s="213"/>
      <c r="J473" s="213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1.25" customHeight="1" x14ac:dyDescent="0.25">
      <c r="A474" s="15"/>
      <c r="B474" s="15"/>
      <c r="C474" s="15"/>
      <c r="D474" s="17"/>
      <c r="E474" s="17"/>
      <c r="F474" s="17"/>
      <c r="G474" s="17"/>
      <c r="H474" s="15"/>
      <c r="I474" s="213"/>
      <c r="J474" s="213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1.25" customHeight="1" x14ac:dyDescent="0.25">
      <c r="A475" s="15" t="s">
        <v>354</v>
      </c>
      <c r="B475" s="15"/>
      <c r="C475" s="15"/>
      <c r="D475" s="17"/>
      <c r="E475" s="17"/>
      <c r="F475" s="17"/>
      <c r="G475" s="17"/>
      <c r="H475" s="15"/>
      <c r="I475" s="213"/>
      <c r="J475" s="213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1.25" customHeight="1" x14ac:dyDescent="0.25">
      <c r="A476" s="284" t="s">
        <v>227</v>
      </c>
      <c r="B476" s="285" t="s">
        <v>98</v>
      </c>
      <c r="C476" s="285" t="s">
        <v>55</v>
      </c>
      <c r="D476" s="286" t="s">
        <v>228</v>
      </c>
      <c r="E476" s="286" t="s">
        <v>229</v>
      </c>
      <c r="F476" s="287" t="s">
        <v>230</v>
      </c>
      <c r="G476" s="17"/>
      <c r="H476" s="15"/>
      <c r="I476" s="213"/>
      <c r="J476" s="213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1.25" customHeight="1" x14ac:dyDescent="0.25">
      <c r="A477" s="289" t="s">
        <v>333</v>
      </c>
      <c r="B477" s="290" t="s">
        <v>334</v>
      </c>
      <c r="C477" s="307">
        <f>'0. Qtdades e Custos'!S62/('0. Qtdades e Custos'!Q62*12)</f>
        <v>9.7222222222222224E-3</v>
      </c>
      <c r="D477" s="291">
        <f>D427</f>
        <v>0</v>
      </c>
      <c r="E477" s="292">
        <f>C477*D477</f>
        <v>0</v>
      </c>
      <c r="F477" s="17"/>
      <c r="G477" s="17"/>
      <c r="H477" s="15"/>
      <c r="I477" s="213"/>
      <c r="J477" s="213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1.25" customHeight="1" x14ac:dyDescent="0.25">
      <c r="A478" s="15"/>
      <c r="B478" s="15"/>
      <c r="C478" s="15"/>
      <c r="D478" s="17"/>
      <c r="E478" s="17"/>
      <c r="F478" s="327">
        <f>E477</f>
        <v>0</v>
      </c>
      <c r="G478" s="17"/>
      <c r="H478" s="15"/>
      <c r="I478" s="213"/>
      <c r="J478" s="213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1.25" customHeight="1" x14ac:dyDescent="0.25">
      <c r="A479" s="15"/>
      <c r="B479" s="15"/>
      <c r="C479" s="15"/>
      <c r="D479" s="17"/>
      <c r="E479" s="17"/>
      <c r="F479" s="17"/>
      <c r="G479" s="17"/>
      <c r="H479" s="15"/>
      <c r="I479" s="213"/>
      <c r="J479" s="213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1.25" customHeight="1" x14ac:dyDescent="0.25">
      <c r="A480" s="15" t="s">
        <v>355</v>
      </c>
      <c r="B480" s="15"/>
      <c r="C480" s="15"/>
      <c r="D480" s="17"/>
      <c r="E480" s="17"/>
      <c r="F480" s="17"/>
      <c r="G480" s="17"/>
      <c r="H480" s="15"/>
      <c r="I480" s="213"/>
      <c r="J480" s="213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1.25" customHeight="1" x14ac:dyDescent="0.25">
      <c r="A481" s="284" t="s">
        <v>227</v>
      </c>
      <c r="B481" s="285" t="s">
        <v>98</v>
      </c>
      <c r="C481" s="285" t="s">
        <v>55</v>
      </c>
      <c r="D481" s="286" t="s">
        <v>228</v>
      </c>
      <c r="E481" s="286" t="s">
        <v>229</v>
      </c>
      <c r="F481" s="287" t="s">
        <v>230</v>
      </c>
      <c r="G481" s="17"/>
      <c r="H481" s="15"/>
      <c r="I481" s="213"/>
      <c r="J481" s="213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1.25" customHeight="1" x14ac:dyDescent="0.25">
      <c r="A482" s="289" t="s">
        <v>356</v>
      </c>
      <c r="B482" s="290" t="s">
        <v>255</v>
      </c>
      <c r="C482" s="341">
        <v>2</v>
      </c>
      <c r="D482" s="291"/>
      <c r="E482" s="292">
        <f>C482*D482</f>
        <v>0</v>
      </c>
      <c r="F482" s="17"/>
      <c r="G482" s="17"/>
      <c r="H482" s="15"/>
      <c r="I482" s="213"/>
      <c r="J482" s="213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1.25" customHeight="1" x14ac:dyDescent="0.25">
      <c r="A483" s="289" t="s">
        <v>302</v>
      </c>
      <c r="B483" s="290" t="s">
        <v>255</v>
      </c>
      <c r="C483" s="341">
        <v>1</v>
      </c>
      <c r="D483" s="292"/>
      <c r="E483" s="292"/>
      <c r="F483" s="17"/>
      <c r="G483" s="17"/>
      <c r="H483" s="15"/>
      <c r="I483" s="213"/>
      <c r="J483" s="213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1.25" customHeight="1" x14ac:dyDescent="0.25">
      <c r="A484" s="289" t="s">
        <v>303</v>
      </c>
      <c r="B484" s="290" t="s">
        <v>255</v>
      </c>
      <c r="C484" s="292">
        <f>C482*C483</f>
        <v>2</v>
      </c>
      <c r="D484" s="291"/>
      <c r="E484" s="292">
        <f>C484*D484</f>
        <v>0</v>
      </c>
      <c r="F484" s="17"/>
      <c r="G484" s="17"/>
      <c r="H484" s="15"/>
      <c r="I484" s="213"/>
      <c r="J484" s="213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1.25" customHeight="1" x14ac:dyDescent="0.25">
      <c r="A485" s="293" t="s">
        <v>304</v>
      </c>
      <c r="B485" s="294" t="s">
        <v>305</v>
      </c>
      <c r="C485" s="342">
        <v>50000</v>
      </c>
      <c r="D485" s="295">
        <f>E482+E484</f>
        <v>0</v>
      </c>
      <c r="E485" s="295">
        <f>IFERROR(D485/C485,"-")</f>
        <v>0</v>
      </c>
      <c r="F485" s="17"/>
      <c r="G485" s="17"/>
      <c r="H485" s="15"/>
      <c r="I485" s="213"/>
      <c r="J485" s="213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1.25" customHeight="1" x14ac:dyDescent="0.25">
      <c r="A486" s="293" t="s">
        <v>306</v>
      </c>
      <c r="B486" s="294" t="s">
        <v>307</v>
      </c>
      <c r="C486" s="307">
        <f>B467</f>
        <v>720</v>
      </c>
      <c r="D486" s="295">
        <f>E485</f>
        <v>0</v>
      </c>
      <c r="E486" s="295">
        <f>IFERROR(C486*D486,0)</f>
        <v>0</v>
      </c>
      <c r="F486" s="17"/>
      <c r="G486" s="17"/>
      <c r="H486" s="15"/>
      <c r="I486" s="213"/>
      <c r="J486" s="213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1.25" customHeight="1" x14ac:dyDescent="0.25">
      <c r="A487" s="293"/>
      <c r="B487" s="294"/>
      <c r="C487" s="307"/>
      <c r="D487" s="295"/>
      <c r="E487" s="295"/>
      <c r="F487" s="17"/>
      <c r="G487" s="17"/>
      <c r="H487" s="15"/>
      <c r="I487" s="213"/>
      <c r="J487" s="213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1.25" customHeight="1" x14ac:dyDescent="0.25">
      <c r="A488" s="289" t="s">
        <v>357</v>
      </c>
      <c r="B488" s="290" t="s">
        <v>255</v>
      </c>
      <c r="C488" s="341">
        <v>2</v>
      </c>
      <c r="D488" s="291"/>
      <c r="E488" s="292">
        <f>C488*D488</f>
        <v>0</v>
      </c>
      <c r="F488" s="17"/>
      <c r="G488" s="17"/>
      <c r="H488" s="15"/>
      <c r="I488" s="213"/>
      <c r="J488" s="213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1.25" customHeight="1" x14ac:dyDescent="0.25">
      <c r="A489" s="289" t="s">
        <v>302</v>
      </c>
      <c r="B489" s="290" t="s">
        <v>255</v>
      </c>
      <c r="C489" s="341">
        <v>1</v>
      </c>
      <c r="D489" s="292"/>
      <c r="E489" s="292"/>
      <c r="F489" s="17"/>
      <c r="G489" s="17"/>
      <c r="H489" s="15"/>
      <c r="I489" s="213"/>
      <c r="J489" s="213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1.25" customHeight="1" x14ac:dyDescent="0.25">
      <c r="A490" s="289" t="s">
        <v>303</v>
      </c>
      <c r="B490" s="290" t="s">
        <v>255</v>
      </c>
      <c r="C490" s="292">
        <f>C488*C489</f>
        <v>2</v>
      </c>
      <c r="D490" s="291"/>
      <c r="E490" s="292">
        <f>C490*D490</f>
        <v>0</v>
      </c>
      <c r="F490" s="17"/>
      <c r="G490" s="17"/>
      <c r="H490" s="15"/>
      <c r="I490" s="213"/>
      <c r="J490" s="213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1.25" customHeight="1" x14ac:dyDescent="0.25">
      <c r="A491" s="293" t="s">
        <v>304</v>
      </c>
      <c r="B491" s="294" t="s">
        <v>305</v>
      </c>
      <c r="C491" s="342">
        <v>50000</v>
      </c>
      <c r="D491" s="295">
        <f>E488+E490</f>
        <v>0</v>
      </c>
      <c r="E491" s="295">
        <f>IFERROR(D491/C491,"-")</f>
        <v>0</v>
      </c>
      <c r="F491" s="17"/>
      <c r="G491" s="17"/>
      <c r="H491" s="15"/>
      <c r="I491" s="213"/>
      <c r="J491" s="213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1.25" customHeight="1" x14ac:dyDescent="0.25">
      <c r="A492" s="293" t="s">
        <v>306</v>
      </c>
      <c r="B492" s="294" t="s">
        <v>307</v>
      </c>
      <c r="C492" s="307">
        <f>B467</f>
        <v>720</v>
      </c>
      <c r="D492" s="295">
        <f>E491</f>
        <v>0</v>
      </c>
      <c r="E492" s="295">
        <f>IFERROR(C492*D492,0)</f>
        <v>0</v>
      </c>
      <c r="F492" s="17"/>
      <c r="G492" s="17"/>
      <c r="H492" s="15"/>
      <c r="I492" s="213"/>
      <c r="J492" s="213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1.25" customHeight="1" x14ac:dyDescent="0.25">
      <c r="A493" s="15"/>
      <c r="B493" s="15"/>
      <c r="C493" s="15"/>
      <c r="D493" s="17"/>
      <c r="E493" s="17"/>
      <c r="F493" s="327">
        <f>E486+E492</f>
        <v>0</v>
      </c>
      <c r="G493" s="17"/>
      <c r="H493" s="15"/>
      <c r="I493" s="213"/>
      <c r="J493" s="213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1.25" customHeight="1" x14ac:dyDescent="0.25">
      <c r="A494" s="15"/>
      <c r="B494" s="15"/>
      <c r="C494" s="15"/>
      <c r="D494" s="17"/>
      <c r="E494" s="17"/>
      <c r="F494" s="17"/>
      <c r="G494" s="17"/>
      <c r="H494" s="15"/>
      <c r="I494" s="213"/>
      <c r="J494" s="213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1.25" customHeight="1" x14ac:dyDescent="0.25">
      <c r="A495" s="347" t="s">
        <v>358</v>
      </c>
      <c r="B495" s="347"/>
      <c r="C495" s="347"/>
      <c r="D495" s="348"/>
      <c r="E495" s="348"/>
      <c r="F495" s="348"/>
      <c r="G495" s="17"/>
      <c r="H495" s="15"/>
      <c r="I495" s="213"/>
      <c r="J495" s="213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1.25" customHeight="1" x14ac:dyDescent="0.25">
      <c r="A496" s="349" t="s">
        <v>227</v>
      </c>
      <c r="B496" s="350" t="s">
        <v>98</v>
      </c>
      <c r="C496" s="350" t="s">
        <v>55</v>
      </c>
      <c r="D496" s="351" t="s">
        <v>228</v>
      </c>
      <c r="E496" s="351" t="s">
        <v>229</v>
      </c>
      <c r="F496" s="352" t="s">
        <v>312</v>
      </c>
      <c r="G496" s="17"/>
      <c r="H496" s="15"/>
      <c r="I496" s="213"/>
      <c r="J496" s="213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1.25" customHeight="1" x14ac:dyDescent="0.25">
      <c r="A497" s="353" t="s">
        <v>313</v>
      </c>
      <c r="B497" s="322" t="s">
        <v>314</v>
      </c>
      <c r="C497" s="322">
        <v>3</v>
      </c>
      <c r="D497" s="354">
        <f>'0. Qtdades e Custos'!D225</f>
        <v>0</v>
      </c>
      <c r="E497" s="355">
        <f>D497*C497</f>
        <v>0</v>
      </c>
      <c r="F497" s="356"/>
      <c r="G497" s="17"/>
      <c r="H497" s="15"/>
      <c r="I497" s="213"/>
      <c r="J497" s="213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1.25" customHeight="1" x14ac:dyDescent="0.25">
      <c r="A498" s="353" t="s">
        <v>315</v>
      </c>
      <c r="B498" s="322" t="s">
        <v>232</v>
      </c>
      <c r="C498" s="322">
        <v>60</v>
      </c>
      <c r="D498" s="355">
        <f>D497</f>
        <v>0</v>
      </c>
      <c r="E498" s="355">
        <f>D498/C498</f>
        <v>0</v>
      </c>
      <c r="F498" s="356"/>
      <c r="G498" s="17"/>
      <c r="H498" s="15"/>
      <c r="I498" s="213"/>
      <c r="J498" s="213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1.25" customHeight="1" x14ac:dyDescent="0.25">
      <c r="A499" s="353" t="s">
        <v>316</v>
      </c>
      <c r="B499" s="322" t="s">
        <v>317</v>
      </c>
      <c r="C499" s="322">
        <v>3</v>
      </c>
      <c r="D499" s="354">
        <f>'0. Qtdades e Custos'!D226</f>
        <v>0</v>
      </c>
      <c r="E499" s="355">
        <f>D499*C499</f>
        <v>0</v>
      </c>
      <c r="F499" s="356"/>
      <c r="G499" s="17"/>
      <c r="H499" s="15"/>
      <c r="I499" s="213"/>
      <c r="J499" s="213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1.25" customHeight="1" x14ac:dyDescent="0.25">
      <c r="A500" s="357" t="s">
        <v>318</v>
      </c>
      <c r="B500" s="358"/>
      <c r="C500" s="359"/>
      <c r="D500" s="360"/>
      <c r="E500" s="361">
        <f>E499+E498</f>
        <v>0</v>
      </c>
      <c r="F500" s="356"/>
      <c r="G500" s="17"/>
      <c r="H500" s="15"/>
      <c r="I500" s="213"/>
      <c r="J500" s="213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1.25" customHeight="1" x14ac:dyDescent="0.25">
      <c r="A501" s="347"/>
      <c r="B501" s="347"/>
      <c r="C501" s="347"/>
      <c r="D501" s="362" t="s">
        <v>239</v>
      </c>
      <c r="E501" s="363">
        <v>1</v>
      </c>
      <c r="F501" s="364">
        <f>(E500)*E501</f>
        <v>0</v>
      </c>
      <c r="G501" s="17"/>
      <c r="H501" s="15"/>
      <c r="I501" s="213"/>
      <c r="J501" s="213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1.25" customHeight="1" x14ac:dyDescent="0.25">
      <c r="A502" s="347"/>
      <c r="B502" s="347"/>
      <c r="C502" s="347"/>
      <c r="D502" s="348"/>
      <c r="E502" s="348"/>
      <c r="F502" s="348"/>
      <c r="G502" s="17"/>
      <c r="H502" s="15"/>
      <c r="I502" s="213"/>
      <c r="J502" s="213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1.25" customHeight="1" x14ac:dyDescent="0.25">
      <c r="A503" s="365" t="s">
        <v>319</v>
      </c>
      <c r="B503" s="366"/>
      <c r="C503" s="366"/>
      <c r="D503" s="367"/>
      <c r="E503" s="368"/>
      <c r="F503" s="369">
        <f>F501</f>
        <v>0</v>
      </c>
      <c r="G503" s="17"/>
      <c r="H503" s="15"/>
      <c r="I503" s="213"/>
      <c r="J503" s="213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1.25" customHeight="1" x14ac:dyDescent="0.25">
      <c r="A504" s="15"/>
      <c r="B504" s="15"/>
      <c r="C504" s="15"/>
      <c r="D504" s="17"/>
      <c r="E504" s="17"/>
      <c r="F504" s="17"/>
      <c r="G504" s="17"/>
      <c r="H504" s="15"/>
      <c r="I504" s="213"/>
      <c r="J504" s="213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1.25" customHeight="1" x14ac:dyDescent="0.25">
      <c r="A505" s="15"/>
      <c r="B505" s="15"/>
      <c r="C505" s="15"/>
      <c r="D505" s="17"/>
      <c r="E505" s="17"/>
      <c r="F505" s="17"/>
      <c r="G505" s="17"/>
      <c r="H505" s="15"/>
      <c r="I505" s="213"/>
      <c r="J505" s="213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601" t="s">
        <v>79</v>
      </c>
      <c r="B506" s="601"/>
      <c r="C506" s="601"/>
      <c r="D506" s="601"/>
      <c r="E506" s="601"/>
      <c r="F506" s="601"/>
      <c r="G506" s="17"/>
      <c r="H506" s="15"/>
      <c r="I506" s="213"/>
      <c r="J506" s="213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1.25" customHeight="1" x14ac:dyDescent="0.25">
      <c r="A507" s="15"/>
      <c r="B507" s="15"/>
      <c r="C507" s="15"/>
      <c r="D507" s="17"/>
      <c r="E507" s="17"/>
      <c r="F507" s="17"/>
      <c r="G507" s="17"/>
      <c r="H507" s="15"/>
      <c r="I507" s="213"/>
      <c r="J507" s="213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1.25" customHeight="1" x14ac:dyDescent="0.25">
      <c r="A508" s="211" t="s">
        <v>359</v>
      </c>
      <c r="B508" s="15"/>
      <c r="C508" s="15"/>
      <c r="D508" s="17"/>
      <c r="E508" s="17"/>
      <c r="F508" s="17"/>
      <c r="G508" s="17"/>
      <c r="H508" s="15"/>
      <c r="I508" s="213"/>
      <c r="J508" s="213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1.25" customHeight="1" x14ac:dyDescent="0.25">
      <c r="A509" s="284" t="s">
        <v>227</v>
      </c>
      <c r="B509" s="285" t="s">
        <v>98</v>
      </c>
      <c r="C509" s="285" t="s">
        <v>55</v>
      </c>
      <c r="D509" s="286" t="s">
        <v>228</v>
      </c>
      <c r="E509" s="286" t="s">
        <v>229</v>
      </c>
      <c r="F509" s="287" t="s">
        <v>230</v>
      </c>
      <c r="G509" s="17"/>
      <c r="H509" s="15"/>
      <c r="I509" s="213"/>
      <c r="J509" s="213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1.25" customHeight="1" x14ac:dyDescent="0.25">
      <c r="A510" s="289" t="s">
        <v>269</v>
      </c>
      <c r="B510" s="290" t="s">
        <v>255</v>
      </c>
      <c r="C510" s="290">
        <v>1</v>
      </c>
      <c r="D510" s="291">
        <f>'0. Qtdades e Custos'!N64</f>
        <v>0</v>
      </c>
      <c r="E510" s="292">
        <f>C510*D510</f>
        <v>0</v>
      </c>
      <c r="F510" s="17"/>
      <c r="G510" s="17"/>
      <c r="H510" s="15"/>
      <c r="I510" s="213"/>
      <c r="J510" s="213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1.25" customHeight="1" x14ac:dyDescent="0.25">
      <c r="A511" s="293" t="s">
        <v>270</v>
      </c>
      <c r="B511" s="294" t="s">
        <v>271</v>
      </c>
      <c r="C511" s="321">
        <f>'0. Qtdades e Custos'!Q64</f>
        <v>6</v>
      </c>
      <c r="D511" s="295"/>
      <c r="E511" s="295"/>
      <c r="F511" s="17"/>
      <c r="G511" s="17"/>
      <c r="H511" s="15"/>
      <c r="I511" s="213"/>
      <c r="J511" s="213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1.25" customHeight="1" x14ac:dyDescent="0.25">
      <c r="A512" s="293" t="s">
        <v>272</v>
      </c>
      <c r="B512" s="294" t="s">
        <v>271</v>
      </c>
      <c r="C512" s="299">
        <v>0</v>
      </c>
      <c r="D512" s="295"/>
      <c r="E512" s="295"/>
      <c r="F512" s="142"/>
      <c r="G512" s="17"/>
      <c r="H512" s="15"/>
      <c r="I512" s="213"/>
      <c r="J512" s="213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1.25" customHeight="1" x14ac:dyDescent="0.25">
      <c r="A513" s="293" t="s">
        <v>273</v>
      </c>
      <c r="B513" s="294" t="s">
        <v>207</v>
      </c>
      <c r="C513" s="298">
        <f>IFERROR(VLOOKUP(C511,'9. Depreciação'!A3:B17,2,0),0)</f>
        <v>58.18</v>
      </c>
      <c r="D513" s="295">
        <f>E510</f>
        <v>0</v>
      </c>
      <c r="E513" s="295">
        <f>C513*D513/100</f>
        <v>0</v>
      </c>
      <c r="F513" s="17"/>
      <c r="G513" s="17"/>
      <c r="H513" s="15"/>
      <c r="I513" s="213"/>
      <c r="J513" s="213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1.25" customHeight="1" x14ac:dyDescent="0.25">
      <c r="A514" s="328" t="s">
        <v>341</v>
      </c>
      <c r="B514" s="329" t="s">
        <v>232</v>
      </c>
      <c r="C514" s="329">
        <f>C511*12</f>
        <v>72</v>
      </c>
      <c r="D514" s="330">
        <f>IF(C512&lt;=C511,E513,0)</f>
        <v>0</v>
      </c>
      <c r="E514" s="330">
        <f>IFERROR(D514/C514,0)</f>
        <v>0</v>
      </c>
      <c r="F514" s="17"/>
      <c r="G514" s="17"/>
      <c r="H514" s="15"/>
      <c r="I514" s="213"/>
      <c r="J514" s="213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1.25" customHeight="1" x14ac:dyDescent="0.25">
      <c r="A515" s="289" t="s">
        <v>342</v>
      </c>
      <c r="B515" s="290" t="s">
        <v>255</v>
      </c>
      <c r="C515" s="290">
        <v>2</v>
      </c>
      <c r="D515" s="291">
        <f>'0. Qtdades e Custos'!N65</f>
        <v>0</v>
      </c>
      <c r="E515" s="292">
        <f>C515*D515</f>
        <v>0</v>
      </c>
      <c r="F515" s="17"/>
      <c r="G515" s="17"/>
      <c r="H515" s="15"/>
      <c r="I515" s="213"/>
      <c r="J515" s="213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1.25" customHeight="1" x14ac:dyDescent="0.25">
      <c r="A516" s="293" t="s">
        <v>343</v>
      </c>
      <c r="B516" s="294" t="s">
        <v>271</v>
      </c>
      <c r="C516" s="321">
        <f>C511</f>
        <v>6</v>
      </c>
      <c r="D516" s="295"/>
      <c r="E516" s="295"/>
      <c r="F516" s="17"/>
      <c r="G516" s="17"/>
      <c r="H516" s="15"/>
      <c r="I516" s="213"/>
      <c r="J516" s="213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1.25" customHeight="1" x14ac:dyDescent="0.25">
      <c r="A517" s="293" t="s">
        <v>344</v>
      </c>
      <c r="B517" s="294" t="s">
        <v>271</v>
      </c>
      <c r="C517" s="299">
        <v>0</v>
      </c>
      <c r="D517" s="295"/>
      <c r="E517" s="295"/>
      <c r="F517" s="142"/>
      <c r="G517" s="17"/>
      <c r="H517" s="15"/>
      <c r="I517" s="213"/>
      <c r="J517" s="213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1.25" customHeight="1" x14ac:dyDescent="0.25">
      <c r="A518" s="293" t="s">
        <v>345</v>
      </c>
      <c r="B518" s="294" t="s">
        <v>207</v>
      </c>
      <c r="C518" s="372">
        <f>IFERROR(VLOOKUP(C516,'9. Depreciação'!A3:B17,2,0),0)</f>
        <v>58.18</v>
      </c>
      <c r="D518" s="295">
        <f>E515</f>
        <v>0</v>
      </c>
      <c r="E518" s="295">
        <f>C518*D518/100</f>
        <v>0</v>
      </c>
      <c r="F518" s="17"/>
      <c r="G518" s="17"/>
      <c r="H518" s="15"/>
      <c r="I518" s="213"/>
      <c r="J518" s="213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1.25" customHeight="1" x14ac:dyDescent="0.25">
      <c r="A519" s="181" t="s">
        <v>346</v>
      </c>
      <c r="B519" s="331" t="s">
        <v>232</v>
      </c>
      <c r="C519" s="331">
        <f>C516*12</f>
        <v>72</v>
      </c>
      <c r="D519" s="303">
        <f>IF(C517&lt;=C516,E518,0)</f>
        <v>0</v>
      </c>
      <c r="E519" s="303">
        <f>IFERROR(D519/C519,0)</f>
        <v>0</v>
      </c>
      <c r="F519" s="17"/>
      <c r="G519" s="17"/>
      <c r="H519" s="15"/>
      <c r="I519" s="213"/>
      <c r="J519" s="213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1.25" customHeight="1" x14ac:dyDescent="0.25">
      <c r="A520" s="296" t="s">
        <v>275</v>
      </c>
      <c r="B520" s="143"/>
      <c r="C520" s="143"/>
      <c r="D520" s="42"/>
      <c r="E520" s="297">
        <f>E514+E519</f>
        <v>0</v>
      </c>
      <c r="F520" s="17"/>
      <c r="G520" s="17"/>
      <c r="H520" s="15"/>
      <c r="I520" s="213"/>
      <c r="J520" s="213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1.25" customHeight="1" x14ac:dyDescent="0.25">
      <c r="A521" s="181" t="s">
        <v>276</v>
      </c>
      <c r="B521" s="331" t="s">
        <v>255</v>
      </c>
      <c r="C521" s="321">
        <f>'0. Qtdades e Custos'!P64</f>
        <v>1</v>
      </c>
      <c r="D521" s="303">
        <f>E520</f>
        <v>0</v>
      </c>
      <c r="E521" s="297">
        <f>C521*D521</f>
        <v>0</v>
      </c>
      <c r="F521" s="17"/>
      <c r="G521" s="17"/>
      <c r="H521" s="15"/>
      <c r="I521" s="213"/>
      <c r="J521" s="213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1.25" customHeight="1" x14ac:dyDescent="0.25">
      <c r="A522" s="214"/>
      <c r="B522" s="214"/>
      <c r="C522" s="214"/>
      <c r="D522" s="205" t="s">
        <v>239</v>
      </c>
      <c r="E522" s="300">
        <f>$B$101</f>
        <v>1</v>
      </c>
      <c r="F522" s="327">
        <f>E521*E522</f>
        <v>0</v>
      </c>
      <c r="G522" s="17"/>
      <c r="H522" s="15"/>
      <c r="I522" s="213"/>
      <c r="J522" s="213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1.25" customHeight="1" x14ac:dyDescent="0.25">
      <c r="A523" s="15"/>
      <c r="B523" s="15"/>
      <c r="C523" s="15"/>
      <c r="D523" s="17"/>
      <c r="E523" s="17"/>
      <c r="F523" s="17"/>
      <c r="G523" s="17"/>
      <c r="H523" s="15"/>
      <c r="I523" s="213"/>
      <c r="J523" s="213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1.25" customHeight="1" x14ac:dyDescent="0.25">
      <c r="A524" s="211" t="s">
        <v>360</v>
      </c>
      <c r="B524" s="15"/>
      <c r="C524" s="15"/>
      <c r="D524" s="17"/>
      <c r="E524" s="17"/>
      <c r="F524" s="17"/>
      <c r="G524" s="17"/>
      <c r="H524" s="15"/>
      <c r="I524" s="213"/>
      <c r="J524" s="213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1.25" customHeight="1" x14ac:dyDescent="0.25">
      <c r="A525" s="284" t="s">
        <v>227</v>
      </c>
      <c r="B525" s="285" t="s">
        <v>98</v>
      </c>
      <c r="C525" s="285" t="s">
        <v>55</v>
      </c>
      <c r="D525" s="286" t="s">
        <v>228</v>
      </c>
      <c r="E525" s="286" t="s">
        <v>229</v>
      </c>
      <c r="F525" s="287" t="s">
        <v>230</v>
      </c>
      <c r="G525" s="17"/>
      <c r="H525" s="15"/>
      <c r="I525" s="213"/>
      <c r="J525" s="213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1.25" customHeight="1" x14ac:dyDescent="0.25">
      <c r="A526" s="289" t="s">
        <v>278</v>
      </c>
      <c r="B526" s="290" t="s">
        <v>255</v>
      </c>
      <c r="C526" s="290">
        <v>1</v>
      </c>
      <c r="D526" s="292">
        <f>D510</f>
        <v>0</v>
      </c>
      <c r="E526" s="292">
        <f>C526*D526</f>
        <v>0</v>
      </c>
      <c r="F526" s="142"/>
      <c r="G526" s="17"/>
      <c r="H526" s="15"/>
      <c r="I526" s="213"/>
      <c r="J526" s="213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1.25" customHeight="1" x14ac:dyDescent="0.25">
      <c r="A527" s="293" t="s">
        <v>279</v>
      </c>
      <c r="B527" s="294" t="s">
        <v>207</v>
      </c>
      <c r="C527" s="299">
        <v>14.75</v>
      </c>
      <c r="D527" s="295"/>
      <c r="E527" s="295"/>
      <c r="F527" s="142"/>
      <c r="G527" s="17"/>
      <c r="H527" s="15"/>
      <c r="I527" s="213"/>
      <c r="J527" s="213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1.25" customHeight="1" x14ac:dyDescent="0.25">
      <c r="A528" s="293" t="s">
        <v>280</v>
      </c>
      <c r="B528" s="294" t="s">
        <v>250</v>
      </c>
      <c r="C528" s="295">
        <f>IFERROR(IF(C512&lt;=C511,E510-(C513/(100*C511)*C512)*E510,E510-E513),0)</f>
        <v>0</v>
      </c>
      <c r="D528" s="295"/>
      <c r="E528" s="295"/>
      <c r="F528" s="142"/>
      <c r="G528" s="17"/>
      <c r="H528" s="15"/>
      <c r="I528" s="213"/>
      <c r="J528" s="213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1.25" customHeight="1" x14ac:dyDescent="0.25">
      <c r="A529" s="293" t="s">
        <v>281</v>
      </c>
      <c r="B529" s="294" t="s">
        <v>250</v>
      </c>
      <c r="C529" s="295">
        <f>IFERROR(IF(C512&gt;=C511,C528,((((C528)-(E510-E513))*(((C511-C512)+1)/(2*(C511-C512))))+(E510-E513))),0)</f>
        <v>0</v>
      </c>
      <c r="D529" s="295"/>
      <c r="E529" s="295"/>
      <c r="F529" s="142"/>
      <c r="G529" s="17"/>
      <c r="H529" s="15"/>
      <c r="I529" s="213"/>
      <c r="J529" s="213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1.25" customHeight="1" x14ac:dyDescent="0.25">
      <c r="A530" s="328" t="s">
        <v>282</v>
      </c>
      <c r="B530" s="329" t="s">
        <v>250</v>
      </c>
      <c r="C530" s="329"/>
      <c r="D530" s="330">
        <f>C527*C529/12/100</f>
        <v>0</v>
      </c>
      <c r="E530" s="330">
        <f>D530</f>
        <v>0</v>
      </c>
      <c r="F530" s="142"/>
      <c r="G530" s="17"/>
      <c r="H530" s="15"/>
      <c r="I530" s="213"/>
      <c r="J530" s="213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1.25" customHeight="1" x14ac:dyDescent="0.25">
      <c r="A531" s="289" t="s">
        <v>348</v>
      </c>
      <c r="B531" s="290" t="s">
        <v>255</v>
      </c>
      <c r="C531" s="290">
        <f>C515</f>
        <v>2</v>
      </c>
      <c r="D531" s="292">
        <f>D515</f>
        <v>0</v>
      </c>
      <c r="E531" s="292">
        <f>C531*D531</f>
        <v>0</v>
      </c>
      <c r="F531" s="142"/>
      <c r="G531" s="17"/>
      <c r="H531" s="15"/>
      <c r="I531" s="213"/>
      <c r="J531" s="213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1.25" customHeight="1" x14ac:dyDescent="0.25">
      <c r="A532" s="293" t="s">
        <v>279</v>
      </c>
      <c r="B532" s="294" t="s">
        <v>207</v>
      </c>
      <c r="C532" s="294">
        <f>C527</f>
        <v>14.75</v>
      </c>
      <c r="D532" s="295"/>
      <c r="E532" s="295"/>
      <c r="F532" s="142"/>
      <c r="G532" s="17"/>
      <c r="H532" s="15"/>
      <c r="I532" s="213"/>
      <c r="J532" s="213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1.25" customHeight="1" x14ac:dyDescent="0.25">
      <c r="A533" s="293" t="s">
        <v>349</v>
      </c>
      <c r="B533" s="294" t="s">
        <v>250</v>
      </c>
      <c r="C533" s="295">
        <f>IFERROR(IF(C517&lt;=C516,E515-(C518/(100*C516)*C517)*E515,E515-E518),0)</f>
        <v>0</v>
      </c>
      <c r="D533" s="295"/>
      <c r="E533" s="295"/>
      <c r="F533" s="142"/>
      <c r="G533" s="17"/>
      <c r="H533" s="15"/>
      <c r="I533" s="213"/>
      <c r="J533" s="213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1.25" customHeight="1" x14ac:dyDescent="0.25">
      <c r="A534" s="293" t="s">
        <v>350</v>
      </c>
      <c r="B534" s="294" t="s">
        <v>250</v>
      </c>
      <c r="C534" s="295">
        <f>IFERROR(IF(C517&gt;=C516,C533,((((C533)-(E515-E518))*(((C516-C517)+1)/(2*(C516-C517))))+(E515-E518))),0)</f>
        <v>0</v>
      </c>
      <c r="D534" s="295"/>
      <c r="E534" s="295"/>
      <c r="F534" s="142"/>
      <c r="G534" s="17"/>
      <c r="H534" s="15"/>
      <c r="I534" s="213"/>
      <c r="J534" s="213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1.25" customHeight="1" x14ac:dyDescent="0.25">
      <c r="A535" s="181" t="s">
        <v>351</v>
      </c>
      <c r="B535" s="331" t="s">
        <v>250</v>
      </c>
      <c r="C535" s="331"/>
      <c r="D535" s="303">
        <f>C532*C534/12/100</f>
        <v>0</v>
      </c>
      <c r="E535" s="303">
        <f>D535</f>
        <v>0</v>
      </c>
      <c r="F535" s="142"/>
      <c r="G535" s="17"/>
      <c r="H535" s="15"/>
      <c r="I535" s="213"/>
      <c r="J535" s="213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1.25" customHeight="1" x14ac:dyDescent="0.25">
      <c r="A536" s="296" t="s">
        <v>275</v>
      </c>
      <c r="B536" s="143"/>
      <c r="C536" s="143"/>
      <c r="D536" s="42"/>
      <c r="E536" s="297">
        <f>E530+E535</f>
        <v>0</v>
      </c>
      <c r="F536" s="142"/>
      <c r="G536" s="17"/>
      <c r="H536" s="15"/>
      <c r="I536" s="213"/>
      <c r="J536" s="213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1.25" customHeight="1" x14ac:dyDescent="0.25">
      <c r="A537" s="181" t="s">
        <v>276</v>
      </c>
      <c r="B537" s="331" t="s">
        <v>255</v>
      </c>
      <c r="C537" s="332">
        <f>C521</f>
        <v>1</v>
      </c>
      <c r="D537" s="303">
        <f>E536</f>
        <v>0</v>
      </c>
      <c r="E537" s="297">
        <f>C537*D537</f>
        <v>0</v>
      </c>
      <c r="F537" s="142"/>
      <c r="G537" s="17"/>
      <c r="H537" s="15"/>
      <c r="I537" s="213"/>
      <c r="J537" s="213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1.25" customHeight="1" x14ac:dyDescent="0.25">
      <c r="A538" s="15"/>
      <c r="B538" s="15"/>
      <c r="C538" s="141"/>
      <c r="D538" s="205" t="s">
        <v>239</v>
      </c>
      <c r="E538" s="300">
        <f>$B$101</f>
        <v>1</v>
      </c>
      <c r="F538" s="327">
        <f>E537*E538</f>
        <v>0</v>
      </c>
      <c r="G538" s="17"/>
      <c r="H538" s="15"/>
      <c r="I538" s="213"/>
      <c r="J538" s="213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1.25" customHeight="1" x14ac:dyDescent="0.25">
      <c r="A539" s="15"/>
      <c r="B539" s="15"/>
      <c r="C539" s="15"/>
      <c r="D539" s="17"/>
      <c r="E539" s="17"/>
      <c r="F539" s="17"/>
      <c r="G539" s="17"/>
      <c r="H539" s="15"/>
      <c r="I539" s="213"/>
      <c r="J539" s="213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1.25" customHeight="1" x14ac:dyDescent="0.25">
      <c r="A540" s="15" t="s">
        <v>361</v>
      </c>
      <c r="B540" s="15"/>
      <c r="C540" s="15"/>
      <c r="D540" s="17"/>
      <c r="E540" s="17"/>
      <c r="F540" s="17"/>
      <c r="G540" s="17"/>
      <c r="H540" s="15"/>
      <c r="I540" s="213"/>
      <c r="J540" s="213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1.25" customHeight="1" x14ac:dyDescent="0.25">
      <c r="A541" s="284" t="s">
        <v>227</v>
      </c>
      <c r="B541" s="285" t="s">
        <v>98</v>
      </c>
      <c r="C541" s="285" t="s">
        <v>55</v>
      </c>
      <c r="D541" s="286" t="s">
        <v>228</v>
      </c>
      <c r="E541" s="286" t="s">
        <v>229</v>
      </c>
      <c r="F541" s="287" t="s">
        <v>230</v>
      </c>
      <c r="G541" s="17"/>
      <c r="H541" s="15"/>
      <c r="I541" s="213"/>
      <c r="J541" s="213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1.25" customHeight="1" x14ac:dyDescent="0.25">
      <c r="A542" s="289" t="s">
        <v>284</v>
      </c>
      <c r="B542" s="290" t="s">
        <v>255</v>
      </c>
      <c r="C542" s="292">
        <f>C521</f>
        <v>1</v>
      </c>
      <c r="D542" s="292">
        <f>0.01*($E$277)</f>
        <v>0</v>
      </c>
      <c r="E542" s="292">
        <f>C542*D542</f>
        <v>0</v>
      </c>
      <c r="F542" s="17"/>
      <c r="G542" s="17"/>
      <c r="H542" s="15"/>
      <c r="I542" s="213"/>
      <c r="J542" s="213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1.25" customHeight="1" x14ac:dyDescent="0.25">
      <c r="A543" s="293" t="s">
        <v>329</v>
      </c>
      <c r="B543" s="294" t="s">
        <v>255</v>
      </c>
      <c r="C543" s="292">
        <f>C521</f>
        <v>1</v>
      </c>
      <c r="D543" s="313"/>
      <c r="E543" s="295">
        <f>C543*D543</f>
        <v>0</v>
      </c>
      <c r="F543" s="17"/>
      <c r="G543" s="17"/>
      <c r="H543" s="15"/>
      <c r="I543" s="213"/>
      <c r="J543" s="213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1.25" customHeight="1" x14ac:dyDescent="0.25">
      <c r="A544" s="293" t="s">
        <v>286</v>
      </c>
      <c r="B544" s="294" t="s">
        <v>255</v>
      </c>
      <c r="C544" s="292">
        <f>C521</f>
        <v>1</v>
      </c>
      <c r="D544" s="313"/>
      <c r="E544" s="295">
        <f>C544*D544</f>
        <v>0</v>
      </c>
      <c r="F544" s="42"/>
      <c r="G544" s="17"/>
      <c r="H544" s="15"/>
      <c r="I544" s="213"/>
      <c r="J544" s="213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1.25" customHeight="1" x14ac:dyDescent="0.25">
      <c r="A545" s="181" t="s">
        <v>287</v>
      </c>
      <c r="B545" s="331" t="s">
        <v>232</v>
      </c>
      <c r="C545" s="331">
        <v>12</v>
      </c>
      <c r="D545" s="303">
        <f>SUM(E542:E544)</f>
        <v>0</v>
      </c>
      <c r="E545" s="303">
        <f>D545/C545</f>
        <v>0</v>
      </c>
      <c r="F545" s="17"/>
      <c r="G545" s="17"/>
      <c r="H545" s="15"/>
      <c r="I545" s="213"/>
      <c r="J545" s="213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1.25" customHeight="1" x14ac:dyDescent="0.25">
      <c r="A546" s="15"/>
      <c r="B546" s="15"/>
      <c r="C546" s="15"/>
      <c r="D546" s="205" t="s">
        <v>239</v>
      </c>
      <c r="E546" s="300">
        <f>$B$101</f>
        <v>1</v>
      </c>
      <c r="F546" s="301">
        <f>E545*E546</f>
        <v>0</v>
      </c>
      <c r="G546" s="17"/>
      <c r="H546" s="15"/>
      <c r="I546" s="213"/>
      <c r="J546" s="213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1.25" customHeight="1" x14ac:dyDescent="0.25">
      <c r="A547" s="15"/>
      <c r="B547" s="15"/>
      <c r="C547" s="15"/>
      <c r="D547" s="17"/>
      <c r="E547" s="17"/>
      <c r="F547" s="17"/>
      <c r="G547" s="17"/>
      <c r="H547" s="15"/>
      <c r="I547" s="213"/>
      <c r="J547" s="213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1.25" customHeight="1" x14ac:dyDescent="0.25">
      <c r="A548" s="15" t="s">
        <v>362</v>
      </c>
      <c r="B548" s="215"/>
      <c r="C548" s="15"/>
      <c r="D548" s="17"/>
      <c r="E548" s="17"/>
      <c r="F548" s="17"/>
      <c r="G548" s="17"/>
      <c r="H548" s="15"/>
      <c r="I548" s="213"/>
      <c r="J548" s="213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1.25" customHeight="1" x14ac:dyDescent="0.25">
      <c r="A549" s="15"/>
      <c r="B549" s="215"/>
      <c r="C549" s="15"/>
      <c r="D549" s="17"/>
      <c r="E549" s="17"/>
      <c r="F549" s="17"/>
      <c r="G549" s="17"/>
      <c r="H549" s="15"/>
      <c r="I549" s="213"/>
      <c r="J549" s="213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1.25" customHeight="1" x14ac:dyDescent="0.25">
      <c r="A550" s="181" t="s">
        <v>289</v>
      </c>
      <c r="B550" s="333">
        <f>'0. Qtdades e Custos'!D5*0.8</f>
        <v>720</v>
      </c>
      <c r="C550" s="15" t="s">
        <v>331</v>
      </c>
      <c r="D550" s="17"/>
      <c r="E550" s="17"/>
      <c r="F550" s="17"/>
      <c r="G550" s="17"/>
      <c r="H550" s="15"/>
      <c r="I550" s="213"/>
      <c r="J550" s="213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334" t="s">
        <v>290</v>
      </c>
      <c r="B551" s="335">
        <f>'0. Qtdades e Custos'!Y64</f>
        <v>0</v>
      </c>
      <c r="C551" s="15"/>
      <c r="D551" s="17"/>
      <c r="E551" s="17"/>
      <c r="F551" s="17"/>
      <c r="G551" s="17"/>
      <c r="H551" s="15"/>
      <c r="I551" s="213"/>
      <c r="J551" s="213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1.25" customHeight="1" x14ac:dyDescent="0.25">
      <c r="A552" s="15"/>
      <c r="B552" s="215"/>
      <c r="C552" s="15"/>
      <c r="D552" s="17"/>
      <c r="E552" s="17"/>
      <c r="F552" s="17"/>
      <c r="G552" s="17"/>
      <c r="H552" s="15"/>
      <c r="I552" s="213"/>
      <c r="J552" s="213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1.25" customHeight="1" x14ac:dyDescent="0.25">
      <c r="A553" s="284" t="s">
        <v>227</v>
      </c>
      <c r="B553" s="285" t="s">
        <v>98</v>
      </c>
      <c r="C553" s="285" t="s">
        <v>291</v>
      </c>
      <c r="D553" s="286" t="s">
        <v>228</v>
      </c>
      <c r="E553" s="286" t="s">
        <v>229</v>
      </c>
      <c r="F553" s="287" t="s">
        <v>230</v>
      </c>
      <c r="G553" s="17"/>
      <c r="H553" s="15"/>
      <c r="I553" s="213"/>
      <c r="J553" s="213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1.25" customHeight="1" x14ac:dyDescent="0.25">
      <c r="A554" s="293" t="s">
        <v>292</v>
      </c>
      <c r="B554" s="294" t="s">
        <v>293</v>
      </c>
      <c r="C554" s="336">
        <f>B551</f>
        <v>0</v>
      </c>
      <c r="D554" s="337"/>
      <c r="E554" s="292"/>
      <c r="F554" s="17"/>
      <c r="G554" s="17"/>
      <c r="H554" s="15"/>
      <c r="I554" s="213"/>
      <c r="J554" s="213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334" t="s">
        <v>294</v>
      </c>
      <c r="B555" s="294" t="s">
        <v>295</v>
      </c>
      <c r="C555" s="295">
        <f>C554</f>
        <v>0</v>
      </c>
      <c r="D555" s="338"/>
      <c r="E555" s="295">
        <f>C555*D554</f>
        <v>0</v>
      </c>
      <c r="F555" s="17"/>
      <c r="G555" s="17"/>
      <c r="H555" s="15"/>
      <c r="I555" s="213"/>
      <c r="J555" s="213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1.25" customHeight="1" x14ac:dyDescent="0.25">
      <c r="A556" s="15"/>
      <c r="B556" s="15"/>
      <c r="C556" s="15"/>
      <c r="D556" s="17"/>
      <c r="E556" s="17"/>
      <c r="F556" s="327">
        <f>SUM(E554:E555)</f>
        <v>0</v>
      </c>
      <c r="G556" s="17"/>
      <c r="H556" s="15"/>
      <c r="I556" s="213"/>
      <c r="J556" s="213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1.25" customHeight="1" x14ac:dyDescent="0.25">
      <c r="A557" s="15"/>
      <c r="B557" s="15"/>
      <c r="C557" s="15"/>
      <c r="D557" s="17"/>
      <c r="E557" s="17"/>
      <c r="F557" s="17"/>
      <c r="G557" s="17"/>
      <c r="H557" s="15"/>
      <c r="I557" s="213"/>
      <c r="J557" s="213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1.25" customHeight="1" x14ac:dyDescent="0.25">
      <c r="A558" s="15" t="s">
        <v>363</v>
      </c>
      <c r="B558" s="15"/>
      <c r="C558" s="15"/>
      <c r="D558" s="17"/>
      <c r="E558" s="17"/>
      <c r="F558" s="17"/>
      <c r="G558" s="17"/>
      <c r="H558" s="15"/>
      <c r="I558" s="213"/>
      <c r="J558" s="213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1.25" customHeight="1" x14ac:dyDescent="0.25">
      <c r="A559" s="284" t="s">
        <v>227</v>
      </c>
      <c r="B559" s="285" t="s">
        <v>98</v>
      </c>
      <c r="C559" s="285" t="s">
        <v>55</v>
      </c>
      <c r="D559" s="286" t="s">
        <v>228</v>
      </c>
      <c r="E559" s="286" t="s">
        <v>229</v>
      </c>
      <c r="F559" s="287" t="s">
        <v>230</v>
      </c>
      <c r="G559" s="17"/>
      <c r="H559" s="15"/>
      <c r="I559" s="213"/>
      <c r="J559" s="213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1.25" customHeight="1" x14ac:dyDescent="0.25">
      <c r="A560" s="289" t="s">
        <v>333</v>
      </c>
      <c r="B560" s="290" t="s">
        <v>334</v>
      </c>
      <c r="C560" s="332">
        <f>'0. Qtdades e Custos'!S64/('0. Qtdades e Custos'!Q64*12)</f>
        <v>9.7222222222222224E-3</v>
      </c>
      <c r="D560" s="291">
        <f>D510</f>
        <v>0</v>
      </c>
      <c r="E560" s="292">
        <f>C560*D560</f>
        <v>0</v>
      </c>
      <c r="F560" s="17"/>
      <c r="G560" s="17"/>
      <c r="H560" s="15"/>
      <c r="I560" s="213"/>
      <c r="J560" s="213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1.25" customHeight="1" x14ac:dyDescent="0.25">
      <c r="A561" s="15"/>
      <c r="B561" s="15"/>
      <c r="C561" s="15"/>
      <c r="D561" s="17"/>
      <c r="E561" s="17"/>
      <c r="F561" s="327">
        <f>E560</f>
        <v>0</v>
      </c>
      <c r="G561" s="17"/>
      <c r="H561" s="15"/>
      <c r="I561" s="213"/>
      <c r="J561" s="213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1.25" customHeight="1" x14ac:dyDescent="0.25">
      <c r="A562" s="15"/>
      <c r="B562" s="15"/>
      <c r="C562" s="15"/>
      <c r="D562" s="17"/>
      <c r="E562" s="17"/>
      <c r="F562" s="17"/>
      <c r="G562" s="17"/>
      <c r="H562" s="15"/>
      <c r="I562" s="213"/>
      <c r="J562" s="213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1.25" customHeight="1" x14ac:dyDescent="0.25">
      <c r="A563" s="15" t="s">
        <v>364</v>
      </c>
      <c r="B563" s="15"/>
      <c r="C563" s="15"/>
      <c r="D563" s="17"/>
      <c r="E563" s="17"/>
      <c r="F563" s="17"/>
      <c r="G563" s="17"/>
      <c r="H563" s="15"/>
      <c r="I563" s="213"/>
      <c r="J563" s="213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1.25" customHeight="1" x14ac:dyDescent="0.25">
      <c r="A564" s="284" t="s">
        <v>227</v>
      </c>
      <c r="B564" s="285" t="s">
        <v>98</v>
      </c>
      <c r="C564" s="285" t="s">
        <v>55</v>
      </c>
      <c r="D564" s="286" t="s">
        <v>228</v>
      </c>
      <c r="E564" s="286" t="s">
        <v>229</v>
      </c>
      <c r="F564" s="287" t="s">
        <v>230</v>
      </c>
      <c r="G564" s="17"/>
      <c r="H564" s="15"/>
      <c r="I564" s="213"/>
      <c r="J564" s="213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1.25" customHeight="1" x14ac:dyDescent="0.25">
      <c r="A565" s="289" t="s">
        <v>365</v>
      </c>
      <c r="B565" s="290" t="s">
        <v>255</v>
      </c>
      <c r="C565" s="341">
        <v>2</v>
      </c>
      <c r="D565" s="291"/>
      <c r="E565" s="292">
        <f>C565*D565</f>
        <v>0</v>
      </c>
      <c r="F565" s="17"/>
      <c r="G565" s="17"/>
      <c r="H565" s="15"/>
      <c r="I565" s="213"/>
      <c r="J565" s="213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1.25" customHeight="1" x14ac:dyDescent="0.25">
      <c r="A566" s="289" t="s">
        <v>302</v>
      </c>
      <c r="B566" s="290" t="s">
        <v>255</v>
      </c>
      <c r="C566" s="341">
        <v>1</v>
      </c>
      <c r="D566" s="292"/>
      <c r="E566" s="292"/>
      <c r="F566" s="17"/>
      <c r="G566" s="17"/>
      <c r="H566" s="15"/>
      <c r="I566" s="213"/>
      <c r="J566" s="213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1.25" customHeight="1" x14ac:dyDescent="0.25">
      <c r="A567" s="289" t="s">
        <v>303</v>
      </c>
      <c r="B567" s="290" t="s">
        <v>255</v>
      </c>
      <c r="C567" s="292">
        <f>C565*C566</f>
        <v>2</v>
      </c>
      <c r="D567" s="291"/>
      <c r="E567" s="292">
        <f>C567*D567</f>
        <v>0</v>
      </c>
      <c r="F567" s="17"/>
      <c r="G567" s="17"/>
      <c r="H567" s="15"/>
      <c r="I567" s="213"/>
      <c r="J567" s="213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1.25" customHeight="1" x14ac:dyDescent="0.25">
      <c r="A568" s="293" t="s">
        <v>304</v>
      </c>
      <c r="B568" s="294" t="s">
        <v>305</v>
      </c>
      <c r="C568" s="342">
        <v>50000</v>
      </c>
      <c r="D568" s="295">
        <f>E565+E567</f>
        <v>0</v>
      </c>
      <c r="E568" s="295">
        <f>IFERROR(D568/C568,"-")</f>
        <v>0</v>
      </c>
      <c r="F568" s="17"/>
      <c r="G568" s="17"/>
      <c r="H568" s="15"/>
      <c r="I568" s="213"/>
      <c r="J568" s="213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1.25" customHeight="1" x14ac:dyDescent="0.25">
      <c r="A569" s="293" t="s">
        <v>306</v>
      </c>
      <c r="B569" s="294" t="s">
        <v>307</v>
      </c>
      <c r="C569" s="307">
        <f>B550</f>
        <v>720</v>
      </c>
      <c r="D569" s="295">
        <f>E568</f>
        <v>0</v>
      </c>
      <c r="E569" s="295">
        <f>IFERROR(C569*D569,0)</f>
        <v>0</v>
      </c>
      <c r="F569" s="17"/>
      <c r="G569" s="17"/>
      <c r="H569" s="15"/>
      <c r="I569" s="213"/>
      <c r="J569" s="213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1.25" customHeight="1" x14ac:dyDescent="0.25">
      <c r="A570" s="293"/>
      <c r="B570" s="294"/>
      <c r="C570" s="307"/>
      <c r="D570" s="295"/>
      <c r="E570" s="295"/>
      <c r="F570" s="17"/>
      <c r="G570" s="17"/>
      <c r="H570" s="15"/>
      <c r="I570" s="213"/>
      <c r="J570" s="213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1.25" customHeight="1" x14ac:dyDescent="0.25">
      <c r="A571" s="289" t="s">
        <v>366</v>
      </c>
      <c r="B571" s="290" t="s">
        <v>255</v>
      </c>
      <c r="C571" s="341">
        <v>2</v>
      </c>
      <c r="D571" s="291"/>
      <c r="E571" s="292">
        <f>C571*D571</f>
        <v>0</v>
      </c>
      <c r="F571" s="17"/>
      <c r="G571" s="17"/>
      <c r="H571" s="15"/>
      <c r="I571" s="213"/>
      <c r="J571" s="213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1.25" customHeight="1" x14ac:dyDescent="0.25">
      <c r="A572" s="289" t="s">
        <v>302</v>
      </c>
      <c r="B572" s="290" t="s">
        <v>255</v>
      </c>
      <c r="C572" s="341">
        <v>1</v>
      </c>
      <c r="D572" s="292"/>
      <c r="E572" s="292"/>
      <c r="F572" s="17"/>
      <c r="G572" s="17"/>
      <c r="H572" s="15"/>
      <c r="I572" s="213"/>
      <c r="J572" s="213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1.25" customHeight="1" x14ac:dyDescent="0.25">
      <c r="A573" s="289" t="s">
        <v>303</v>
      </c>
      <c r="B573" s="290" t="s">
        <v>255</v>
      </c>
      <c r="C573" s="292">
        <f>C571*C572</f>
        <v>2</v>
      </c>
      <c r="D573" s="291"/>
      <c r="E573" s="292">
        <f>C573*D573</f>
        <v>0</v>
      </c>
      <c r="F573" s="17"/>
      <c r="G573" s="17"/>
      <c r="H573" s="15"/>
      <c r="I573" s="213"/>
      <c r="J573" s="213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1.25" customHeight="1" x14ac:dyDescent="0.25">
      <c r="A574" s="293" t="s">
        <v>304</v>
      </c>
      <c r="B574" s="294" t="s">
        <v>305</v>
      </c>
      <c r="C574" s="342">
        <v>50000</v>
      </c>
      <c r="D574" s="295">
        <f>E571+E573</f>
        <v>0</v>
      </c>
      <c r="E574" s="295">
        <f>IFERROR(D574/C574,"-")</f>
        <v>0</v>
      </c>
      <c r="F574" s="17"/>
      <c r="G574" s="17"/>
      <c r="H574" s="15"/>
      <c r="I574" s="213"/>
      <c r="J574" s="213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1.25" customHeight="1" x14ac:dyDescent="0.25">
      <c r="A575" s="293" t="s">
        <v>306</v>
      </c>
      <c r="B575" s="294" t="s">
        <v>307</v>
      </c>
      <c r="C575" s="307">
        <f>B550</f>
        <v>720</v>
      </c>
      <c r="D575" s="295">
        <f>E574</f>
        <v>0</v>
      </c>
      <c r="E575" s="295">
        <f>IFERROR(C575*D575,0)</f>
        <v>0</v>
      </c>
      <c r="F575" s="17"/>
      <c r="G575" s="17"/>
      <c r="H575" s="15"/>
      <c r="I575" s="213"/>
      <c r="J575" s="213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1.25" customHeight="1" x14ac:dyDescent="0.25">
      <c r="A576" s="15"/>
      <c r="B576" s="15"/>
      <c r="C576" s="15"/>
      <c r="D576" s="17"/>
      <c r="E576" s="17"/>
      <c r="F576" s="327">
        <f>E569+E575</f>
        <v>0</v>
      </c>
      <c r="G576" s="17"/>
      <c r="H576" s="15"/>
      <c r="I576" s="213"/>
      <c r="J576" s="213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1.25" customHeight="1" x14ac:dyDescent="0.25">
      <c r="A577" s="15"/>
      <c r="B577" s="15"/>
      <c r="C577" s="15"/>
      <c r="D577" s="17"/>
      <c r="E577" s="17"/>
      <c r="F577" s="17"/>
      <c r="G577" s="17"/>
      <c r="H577" s="15"/>
      <c r="I577" s="213"/>
      <c r="J577" s="213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1.25" customHeight="1" x14ac:dyDescent="0.25">
      <c r="A578" s="347" t="s">
        <v>367</v>
      </c>
      <c r="B578" s="347"/>
      <c r="C578" s="347"/>
      <c r="D578" s="348"/>
      <c r="E578" s="348"/>
      <c r="F578" s="348"/>
      <c r="G578" s="17"/>
      <c r="H578" s="15"/>
      <c r="I578" s="213"/>
      <c r="J578" s="213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1.25" customHeight="1" x14ac:dyDescent="0.25">
      <c r="A579" s="349" t="s">
        <v>227</v>
      </c>
      <c r="B579" s="350" t="s">
        <v>98</v>
      </c>
      <c r="C579" s="350" t="s">
        <v>55</v>
      </c>
      <c r="D579" s="351" t="s">
        <v>228</v>
      </c>
      <c r="E579" s="351" t="s">
        <v>229</v>
      </c>
      <c r="F579" s="352" t="s">
        <v>312</v>
      </c>
      <c r="G579" s="17"/>
      <c r="H579" s="15"/>
      <c r="I579" s="213"/>
      <c r="J579" s="213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1.25" customHeight="1" x14ac:dyDescent="0.25">
      <c r="A580" s="353" t="s">
        <v>313</v>
      </c>
      <c r="B580" s="322" t="s">
        <v>314</v>
      </c>
      <c r="C580" s="322">
        <v>1</v>
      </c>
      <c r="D580" s="354">
        <f>'0. Qtdades e Custos'!D225</f>
        <v>0</v>
      </c>
      <c r="E580" s="355">
        <f>D580*C580</f>
        <v>0</v>
      </c>
      <c r="F580" s="356"/>
      <c r="G580" s="17"/>
      <c r="H580" s="15"/>
      <c r="I580" s="213"/>
      <c r="J580" s="213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1.25" customHeight="1" x14ac:dyDescent="0.25">
      <c r="A581" s="353" t="s">
        <v>315</v>
      </c>
      <c r="B581" s="322" t="s">
        <v>232</v>
      </c>
      <c r="C581" s="322">
        <v>60</v>
      </c>
      <c r="D581" s="355">
        <f>D580</f>
        <v>0</v>
      </c>
      <c r="E581" s="355">
        <f>D581/C581</f>
        <v>0</v>
      </c>
      <c r="F581" s="356"/>
      <c r="G581" s="17"/>
      <c r="H581" s="15"/>
      <c r="I581" s="213"/>
      <c r="J581" s="213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1.25" customHeight="1" x14ac:dyDescent="0.25">
      <c r="A582" s="353" t="s">
        <v>316</v>
      </c>
      <c r="B582" s="322" t="s">
        <v>317</v>
      </c>
      <c r="C582" s="322">
        <v>1</v>
      </c>
      <c r="D582" s="354">
        <f>'0. Qtdades e Custos'!D226</f>
        <v>0</v>
      </c>
      <c r="E582" s="355">
        <f>D582*C582</f>
        <v>0</v>
      </c>
      <c r="F582" s="356"/>
      <c r="G582" s="17"/>
      <c r="H582" s="15"/>
      <c r="I582" s="213"/>
      <c r="J582" s="213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1.25" customHeight="1" x14ac:dyDescent="0.25">
      <c r="A583" s="357" t="s">
        <v>318</v>
      </c>
      <c r="B583" s="358"/>
      <c r="C583" s="359"/>
      <c r="D583" s="360"/>
      <c r="E583" s="361">
        <f>E582+E581</f>
        <v>0</v>
      </c>
      <c r="F583" s="356"/>
      <c r="G583" s="17"/>
      <c r="H583" s="15"/>
      <c r="I583" s="213"/>
      <c r="J583" s="213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1.25" customHeight="1" x14ac:dyDescent="0.25">
      <c r="A584" s="347"/>
      <c r="B584" s="347"/>
      <c r="C584" s="347"/>
      <c r="D584" s="362" t="s">
        <v>239</v>
      </c>
      <c r="E584" s="363">
        <v>1</v>
      </c>
      <c r="F584" s="364">
        <f>(E583)*E584</f>
        <v>0</v>
      </c>
      <c r="G584" s="17"/>
      <c r="H584" s="15"/>
      <c r="I584" s="213"/>
      <c r="J584" s="213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1.25" customHeight="1" x14ac:dyDescent="0.25">
      <c r="A585" s="347"/>
      <c r="B585" s="347"/>
      <c r="C585" s="347"/>
      <c r="D585" s="348"/>
      <c r="E585" s="348"/>
      <c r="F585" s="348"/>
      <c r="G585" s="17"/>
      <c r="H585" s="15"/>
      <c r="I585" s="213"/>
      <c r="J585" s="213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1.25" customHeight="1" x14ac:dyDescent="0.25">
      <c r="A586" s="365" t="s">
        <v>319</v>
      </c>
      <c r="B586" s="366"/>
      <c r="C586" s="366"/>
      <c r="D586" s="367"/>
      <c r="E586" s="368"/>
      <c r="F586" s="369">
        <f>F584</f>
        <v>0</v>
      </c>
      <c r="G586" s="17"/>
      <c r="H586" s="15"/>
      <c r="I586" s="213"/>
      <c r="J586" s="213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1.25" customHeight="1" x14ac:dyDescent="0.25">
      <c r="A587" s="15"/>
      <c r="B587" s="15"/>
      <c r="C587" s="15"/>
      <c r="D587" s="17"/>
      <c r="E587" s="17"/>
      <c r="F587" s="17"/>
      <c r="G587" s="17"/>
      <c r="H587" s="15"/>
      <c r="I587" s="213"/>
      <c r="J587" s="213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1.25" customHeight="1" x14ac:dyDescent="0.25">
      <c r="A588" s="15"/>
      <c r="B588" s="15"/>
      <c r="C588" s="15"/>
      <c r="D588" s="17"/>
      <c r="E588" s="17"/>
      <c r="F588" s="17"/>
      <c r="G588" s="17"/>
      <c r="H588" s="15"/>
      <c r="I588" s="213"/>
      <c r="J588" s="213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1.25" customHeight="1" x14ac:dyDescent="0.25">
      <c r="A589" s="373" t="s">
        <v>368</v>
      </c>
      <c r="B589" s="374"/>
      <c r="C589" s="374"/>
      <c r="D589" s="375"/>
      <c r="E589" s="17"/>
      <c r="F589" s="17"/>
      <c r="G589" s="17"/>
      <c r="H589" s="15"/>
      <c r="I589" s="213"/>
      <c r="J589" s="213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1.25" customHeight="1" x14ac:dyDescent="0.25">
      <c r="A590" s="15"/>
      <c r="B590" s="15"/>
      <c r="C590" s="15"/>
      <c r="D590" s="17"/>
      <c r="E590" s="17"/>
      <c r="F590" s="17"/>
      <c r="G590" s="17"/>
      <c r="H590" s="15"/>
      <c r="I590" s="213"/>
      <c r="J590" s="213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1.25" customHeight="1" x14ac:dyDescent="0.25">
      <c r="A591" s="211" t="s">
        <v>369</v>
      </c>
      <c r="B591" s="15"/>
      <c r="C591" s="15"/>
      <c r="D591" s="17"/>
      <c r="E591" s="17"/>
      <c r="F591" s="17"/>
      <c r="G591" s="17"/>
      <c r="H591" s="15"/>
      <c r="I591" s="213"/>
      <c r="J591" s="213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1.25" customHeight="1" x14ac:dyDescent="0.25">
      <c r="A592" s="284" t="s">
        <v>227</v>
      </c>
      <c r="B592" s="285" t="s">
        <v>98</v>
      </c>
      <c r="C592" s="285" t="s">
        <v>55</v>
      </c>
      <c r="D592" s="286" t="s">
        <v>228</v>
      </c>
      <c r="E592" s="286" t="s">
        <v>229</v>
      </c>
      <c r="F592" s="287" t="s">
        <v>230</v>
      </c>
      <c r="G592" s="17"/>
      <c r="H592" s="15"/>
      <c r="I592" s="213"/>
      <c r="J592" s="213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1.25" customHeight="1" x14ac:dyDescent="0.25">
      <c r="A593" s="289" t="s">
        <v>269</v>
      </c>
      <c r="B593" s="290" t="s">
        <v>255</v>
      </c>
      <c r="C593" s="290">
        <v>1</v>
      </c>
      <c r="D593" s="291">
        <f>'0. Qtdades e Custos'!N59</f>
        <v>0</v>
      </c>
      <c r="E593" s="292">
        <f>C593*D593</f>
        <v>0</v>
      </c>
      <c r="F593" s="17"/>
      <c r="G593" s="17"/>
      <c r="H593" s="15"/>
      <c r="I593" s="213"/>
      <c r="J593" s="213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1.25" customHeight="1" x14ac:dyDescent="0.25">
      <c r="A594" s="293" t="s">
        <v>270</v>
      </c>
      <c r="B594" s="294" t="s">
        <v>271</v>
      </c>
      <c r="C594" s="321">
        <f>'0. Qtdades e Custos'!Q59</f>
        <v>7</v>
      </c>
      <c r="D594" s="295"/>
      <c r="E594" s="295"/>
      <c r="F594" s="17"/>
      <c r="G594" s="17"/>
      <c r="H594" s="15"/>
      <c r="I594" s="213"/>
      <c r="J594" s="213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1.25" customHeight="1" x14ac:dyDescent="0.25">
      <c r="A595" s="293" t="s">
        <v>272</v>
      </c>
      <c r="B595" s="294" t="s">
        <v>271</v>
      </c>
      <c r="C595" s="299">
        <v>0</v>
      </c>
      <c r="D595" s="295"/>
      <c r="E595" s="295"/>
      <c r="F595" s="142"/>
      <c r="G595" s="17"/>
      <c r="H595" s="15"/>
      <c r="I595" s="213"/>
      <c r="J595" s="213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1.25" customHeight="1" x14ac:dyDescent="0.25">
      <c r="A596" s="293" t="s">
        <v>273</v>
      </c>
      <c r="B596" s="294" t="s">
        <v>207</v>
      </c>
      <c r="C596" s="298">
        <f>IFERROR(VLOOKUP(C594,'9. Depreciação'!A3:B17,2,0),0)</f>
        <v>60.29</v>
      </c>
      <c r="D596" s="295">
        <f>E593</f>
        <v>0</v>
      </c>
      <c r="E596" s="295">
        <f>C596*D596/100</f>
        <v>0</v>
      </c>
      <c r="F596" s="17"/>
      <c r="G596" s="17"/>
      <c r="H596" s="15"/>
      <c r="I596" s="213"/>
      <c r="J596" s="213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1.25" customHeight="1" x14ac:dyDescent="0.25">
      <c r="A597" s="328" t="s">
        <v>370</v>
      </c>
      <c r="B597" s="329" t="s">
        <v>232</v>
      </c>
      <c r="C597" s="329">
        <f>C594*12</f>
        <v>84</v>
      </c>
      <c r="D597" s="330">
        <f>IF(C595&lt;=C594,E596,0)</f>
        <v>0</v>
      </c>
      <c r="E597" s="330">
        <f>IFERROR(D597/C597,0)</f>
        <v>0</v>
      </c>
      <c r="F597" s="17"/>
      <c r="G597" s="17"/>
      <c r="H597" s="15"/>
      <c r="I597" s="213"/>
      <c r="J597" s="213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1.25" customHeight="1" x14ac:dyDescent="0.25">
      <c r="A598" s="296" t="s">
        <v>275</v>
      </c>
      <c r="B598" s="143"/>
      <c r="C598" s="143"/>
      <c r="D598" s="42"/>
      <c r="E598" s="297">
        <f>E597</f>
        <v>0</v>
      </c>
      <c r="F598" s="17"/>
      <c r="G598" s="17"/>
      <c r="H598" s="15"/>
      <c r="I598" s="213"/>
      <c r="J598" s="213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1.25" customHeight="1" x14ac:dyDescent="0.25">
      <c r="A599" s="181" t="s">
        <v>276</v>
      </c>
      <c r="B599" s="331" t="s">
        <v>255</v>
      </c>
      <c r="C599" s="321">
        <f>'0. Qtdades e Custos'!P59</f>
        <v>4</v>
      </c>
      <c r="D599" s="303">
        <f>E598</f>
        <v>0</v>
      </c>
      <c r="E599" s="297">
        <f>C599*D599</f>
        <v>0</v>
      </c>
      <c r="F599" s="17"/>
      <c r="G599" s="17"/>
      <c r="H599" s="15"/>
      <c r="I599" s="213"/>
      <c r="J599" s="213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1.25" customHeight="1" x14ac:dyDescent="0.25">
      <c r="A600" s="214"/>
      <c r="B600" s="214"/>
      <c r="C600" s="214"/>
      <c r="D600" s="205" t="s">
        <v>239</v>
      </c>
      <c r="E600" s="300">
        <f>$B$101</f>
        <v>1</v>
      </c>
      <c r="F600" s="327">
        <f>E599*E600</f>
        <v>0</v>
      </c>
      <c r="G600" s="17"/>
      <c r="H600" s="15"/>
      <c r="I600" s="213"/>
      <c r="J600" s="213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1.25" customHeight="1" x14ac:dyDescent="0.25">
      <c r="A601" s="15"/>
      <c r="B601" s="15"/>
      <c r="C601" s="15"/>
      <c r="D601" s="17"/>
      <c r="E601" s="17"/>
      <c r="F601" s="17"/>
      <c r="G601" s="17"/>
      <c r="H601" s="15"/>
      <c r="I601" s="213"/>
      <c r="J601" s="213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1.25" customHeight="1" x14ac:dyDescent="0.25">
      <c r="A602" s="211" t="s">
        <v>371</v>
      </c>
      <c r="B602" s="15"/>
      <c r="C602" s="15"/>
      <c r="D602" s="17"/>
      <c r="E602" s="17"/>
      <c r="F602" s="17"/>
      <c r="G602" s="17"/>
      <c r="H602" s="15"/>
      <c r="I602" s="213"/>
      <c r="J602" s="213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1.25" customHeight="1" x14ac:dyDescent="0.25">
      <c r="A603" s="284" t="s">
        <v>227</v>
      </c>
      <c r="B603" s="285" t="s">
        <v>98</v>
      </c>
      <c r="C603" s="285" t="s">
        <v>55</v>
      </c>
      <c r="D603" s="286" t="s">
        <v>228</v>
      </c>
      <c r="E603" s="286" t="s">
        <v>229</v>
      </c>
      <c r="F603" s="287" t="s">
        <v>230</v>
      </c>
      <c r="G603" s="17"/>
      <c r="H603" s="15"/>
      <c r="I603" s="213"/>
      <c r="J603" s="213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1.25" customHeight="1" x14ac:dyDescent="0.25">
      <c r="A604" s="289" t="s">
        <v>278</v>
      </c>
      <c r="B604" s="290" t="s">
        <v>255</v>
      </c>
      <c r="C604" s="290">
        <v>1</v>
      </c>
      <c r="D604" s="292">
        <f>D593</f>
        <v>0</v>
      </c>
      <c r="E604" s="292">
        <f>C604*D604</f>
        <v>0</v>
      </c>
      <c r="F604" s="142"/>
      <c r="G604" s="17"/>
      <c r="H604" s="15"/>
      <c r="I604" s="213"/>
      <c r="J604" s="213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1.25" customHeight="1" x14ac:dyDescent="0.25">
      <c r="A605" s="293" t="s">
        <v>279</v>
      </c>
      <c r="B605" s="294" t="s">
        <v>207</v>
      </c>
      <c r="C605" s="299">
        <v>14.75</v>
      </c>
      <c r="D605" s="295"/>
      <c r="E605" s="295"/>
      <c r="F605" s="142"/>
      <c r="G605" s="17"/>
      <c r="H605" s="15"/>
      <c r="I605" s="213"/>
      <c r="J605" s="213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1.25" customHeight="1" x14ac:dyDescent="0.25">
      <c r="A606" s="293" t="s">
        <v>280</v>
      </c>
      <c r="B606" s="294" t="s">
        <v>250</v>
      </c>
      <c r="C606" s="295">
        <f>IFERROR(IF(C595&lt;=C594,E593-(C596/(100*C594)*C595)*E593,E593-E596),0)</f>
        <v>0</v>
      </c>
      <c r="D606" s="295"/>
      <c r="E606" s="295"/>
      <c r="F606" s="142"/>
      <c r="G606" s="17"/>
      <c r="H606" s="15"/>
      <c r="I606" s="213"/>
      <c r="J606" s="213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1.25" customHeight="1" x14ac:dyDescent="0.25">
      <c r="A607" s="293" t="s">
        <v>281</v>
      </c>
      <c r="B607" s="294" t="s">
        <v>250</v>
      </c>
      <c r="C607" s="295">
        <f>IFERROR(IF(C595&gt;=C594,C606,((((C606)-(E593-E596))*(((C594-C595)+1)/(2*(C594-C595))))+(E593-E596))),0)</f>
        <v>0</v>
      </c>
      <c r="D607" s="295"/>
      <c r="E607" s="295"/>
      <c r="F607" s="142"/>
      <c r="G607" s="17"/>
      <c r="H607" s="15"/>
      <c r="I607" s="213"/>
      <c r="J607" s="213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1.25" customHeight="1" x14ac:dyDescent="0.25">
      <c r="A608" s="328" t="s">
        <v>282</v>
      </c>
      <c r="B608" s="329" t="s">
        <v>250</v>
      </c>
      <c r="C608" s="329"/>
      <c r="D608" s="330">
        <f>C605*C607/12/100</f>
        <v>0</v>
      </c>
      <c r="E608" s="330">
        <f>D608</f>
        <v>0</v>
      </c>
      <c r="F608" s="142"/>
      <c r="G608" s="17"/>
      <c r="H608" s="15"/>
      <c r="I608" s="213"/>
      <c r="J608" s="213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1.25" customHeight="1" x14ac:dyDescent="0.25">
      <c r="A609" s="296" t="s">
        <v>275</v>
      </c>
      <c r="B609" s="143"/>
      <c r="C609" s="143"/>
      <c r="D609" s="42"/>
      <c r="E609" s="297">
        <f>E608</f>
        <v>0</v>
      </c>
      <c r="F609" s="142"/>
      <c r="G609" s="17"/>
      <c r="H609" s="15"/>
      <c r="I609" s="213"/>
      <c r="J609" s="213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1.25" customHeight="1" x14ac:dyDescent="0.25">
      <c r="A610" s="181" t="s">
        <v>276</v>
      </c>
      <c r="B610" s="331" t="s">
        <v>255</v>
      </c>
      <c r="C610" s="332">
        <f>C599</f>
        <v>4</v>
      </c>
      <c r="D610" s="303">
        <f>E609</f>
        <v>0</v>
      </c>
      <c r="E610" s="297">
        <f>C610*D610</f>
        <v>0</v>
      </c>
      <c r="F610" s="142"/>
      <c r="G610" s="17"/>
      <c r="H610" s="15"/>
      <c r="I610" s="213"/>
      <c r="J610" s="213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1.25" customHeight="1" x14ac:dyDescent="0.25">
      <c r="A611" s="15"/>
      <c r="B611" s="15"/>
      <c r="C611" s="141"/>
      <c r="D611" s="205" t="s">
        <v>239</v>
      </c>
      <c r="E611" s="300">
        <f>$B$101</f>
        <v>1</v>
      </c>
      <c r="F611" s="327">
        <f>E610*E611</f>
        <v>0</v>
      </c>
      <c r="G611" s="17"/>
      <c r="H611" s="15"/>
      <c r="I611" s="213"/>
      <c r="J611" s="213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1.25" customHeight="1" x14ac:dyDescent="0.25">
      <c r="A612" s="15"/>
      <c r="B612" s="15"/>
      <c r="C612" s="15"/>
      <c r="D612" s="17"/>
      <c r="E612" s="17"/>
      <c r="F612" s="17"/>
      <c r="G612" s="17"/>
      <c r="H612" s="15"/>
      <c r="I612" s="213"/>
      <c r="J612" s="213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1.25" customHeight="1" x14ac:dyDescent="0.25">
      <c r="A613" s="15" t="s">
        <v>372</v>
      </c>
      <c r="B613" s="15"/>
      <c r="C613" s="15"/>
      <c r="D613" s="17"/>
      <c r="E613" s="17"/>
      <c r="F613" s="17"/>
      <c r="G613" s="17"/>
      <c r="H613" s="15"/>
      <c r="I613" s="213"/>
      <c r="J613" s="213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1.25" customHeight="1" x14ac:dyDescent="0.25">
      <c r="A614" s="284" t="s">
        <v>227</v>
      </c>
      <c r="B614" s="285" t="s">
        <v>98</v>
      </c>
      <c r="C614" s="285" t="s">
        <v>55</v>
      </c>
      <c r="D614" s="286" t="s">
        <v>228</v>
      </c>
      <c r="E614" s="286" t="s">
        <v>229</v>
      </c>
      <c r="F614" s="287" t="s">
        <v>230</v>
      </c>
      <c r="G614" s="17"/>
      <c r="H614" s="15"/>
      <c r="I614" s="213"/>
      <c r="J614" s="213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1.25" customHeight="1" x14ac:dyDescent="0.25">
      <c r="A615" s="289" t="s">
        <v>284</v>
      </c>
      <c r="B615" s="290" t="s">
        <v>255</v>
      </c>
      <c r="C615" s="292">
        <f>C599</f>
        <v>4</v>
      </c>
      <c r="D615" s="292">
        <f>0.01*($E$277)</f>
        <v>0</v>
      </c>
      <c r="E615" s="292">
        <f>C615*D615</f>
        <v>0</v>
      </c>
      <c r="F615" s="17"/>
      <c r="G615" s="17"/>
      <c r="H615" s="15"/>
      <c r="I615" s="213"/>
      <c r="J615" s="213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1.25" customHeight="1" x14ac:dyDescent="0.25">
      <c r="A616" s="293" t="s">
        <v>285</v>
      </c>
      <c r="B616" s="294" t="s">
        <v>255</v>
      </c>
      <c r="C616" s="292">
        <f>C599</f>
        <v>4</v>
      </c>
      <c r="D616" s="313"/>
      <c r="E616" s="295">
        <f>C616*D616</f>
        <v>0</v>
      </c>
      <c r="F616" s="17"/>
      <c r="G616" s="17"/>
      <c r="H616" s="15"/>
      <c r="I616" s="213"/>
      <c r="J616" s="213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1.25" customHeight="1" x14ac:dyDescent="0.25">
      <c r="A617" s="293" t="s">
        <v>286</v>
      </c>
      <c r="B617" s="294" t="s">
        <v>255</v>
      </c>
      <c r="C617" s="292">
        <f>C599</f>
        <v>4</v>
      </c>
      <c r="D617" s="376"/>
      <c r="E617" s="295">
        <f>C617*D617</f>
        <v>0</v>
      </c>
      <c r="F617" s="42"/>
      <c r="G617" s="17"/>
      <c r="H617" s="15"/>
      <c r="I617" s="213"/>
      <c r="J617" s="213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1.25" customHeight="1" x14ac:dyDescent="0.25">
      <c r="A618" s="181" t="s">
        <v>287</v>
      </c>
      <c r="B618" s="331" t="s">
        <v>232</v>
      </c>
      <c r="C618" s="331">
        <v>12</v>
      </c>
      <c r="D618" s="303">
        <f>SUM(E615:E617)</f>
        <v>0</v>
      </c>
      <c r="E618" s="303">
        <f>D618/C618</f>
        <v>0</v>
      </c>
      <c r="F618" s="17"/>
      <c r="G618" s="17"/>
      <c r="H618" s="15"/>
      <c r="I618" s="213"/>
      <c r="J618" s="213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1.25" customHeight="1" x14ac:dyDescent="0.25">
      <c r="A619" s="15"/>
      <c r="B619" s="15"/>
      <c r="C619" s="15"/>
      <c r="D619" s="205" t="s">
        <v>239</v>
      </c>
      <c r="E619" s="300">
        <f>$B$101</f>
        <v>1</v>
      </c>
      <c r="F619" s="301">
        <f>E618*E619</f>
        <v>0</v>
      </c>
      <c r="G619" s="17"/>
      <c r="H619" s="15"/>
      <c r="I619" s="213"/>
      <c r="J619" s="213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1.25" customHeight="1" x14ac:dyDescent="0.25">
      <c r="A620" s="15"/>
      <c r="B620" s="15"/>
      <c r="C620" s="15"/>
      <c r="D620" s="17"/>
      <c r="E620" s="17"/>
      <c r="F620" s="17"/>
      <c r="G620" s="17"/>
      <c r="H620" s="15"/>
      <c r="I620" s="213"/>
      <c r="J620" s="213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1.25" customHeight="1" x14ac:dyDescent="0.25">
      <c r="A621" s="15" t="s">
        <v>373</v>
      </c>
      <c r="B621" s="215"/>
      <c r="C621" s="15"/>
      <c r="D621" s="17"/>
      <c r="E621" s="17"/>
      <c r="F621" s="17"/>
      <c r="G621" s="17"/>
      <c r="H621" s="15"/>
      <c r="I621" s="213"/>
      <c r="J621" s="213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1.25" customHeight="1" x14ac:dyDescent="0.25">
      <c r="A622" s="15"/>
      <c r="B622" s="215"/>
      <c r="C622" s="15"/>
      <c r="D622" s="17"/>
      <c r="E622" s="17"/>
      <c r="F622" s="17"/>
      <c r="G622" s="17"/>
      <c r="H622" s="15"/>
      <c r="I622" s="213"/>
      <c r="J622" s="213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1.25" customHeight="1" x14ac:dyDescent="0.25">
      <c r="A623" s="181" t="s">
        <v>289</v>
      </c>
      <c r="B623" s="333">
        <f>'0. Qtdades e Custos'!D5*0.8</f>
        <v>720</v>
      </c>
      <c r="C623" s="15" t="s">
        <v>331</v>
      </c>
      <c r="D623" s="17"/>
      <c r="E623" s="17"/>
      <c r="F623" s="17"/>
      <c r="G623" s="17"/>
      <c r="H623" s="15"/>
      <c r="I623" s="213"/>
      <c r="J623" s="213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334" t="s">
        <v>290</v>
      </c>
      <c r="B624" s="335">
        <f>'0. Qtdades e Custos'!Y59</f>
        <v>0</v>
      </c>
      <c r="C624" s="15"/>
      <c r="D624" s="17"/>
      <c r="E624" s="17"/>
      <c r="F624" s="17"/>
      <c r="G624" s="17"/>
      <c r="H624" s="15"/>
      <c r="I624" s="213"/>
      <c r="J624" s="213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1.25" customHeight="1" x14ac:dyDescent="0.25">
      <c r="A625" s="15"/>
      <c r="B625" s="215"/>
      <c r="C625" s="15"/>
      <c r="D625" s="17"/>
      <c r="E625" s="17"/>
      <c r="F625" s="17"/>
      <c r="G625" s="17"/>
      <c r="H625" s="15"/>
      <c r="I625" s="213"/>
      <c r="J625" s="213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1.25" customHeight="1" x14ac:dyDescent="0.25">
      <c r="A626" s="284" t="s">
        <v>227</v>
      </c>
      <c r="B626" s="285" t="s">
        <v>98</v>
      </c>
      <c r="C626" s="285" t="s">
        <v>291</v>
      </c>
      <c r="D626" s="286" t="s">
        <v>228</v>
      </c>
      <c r="E626" s="286" t="s">
        <v>229</v>
      </c>
      <c r="F626" s="287" t="s">
        <v>230</v>
      </c>
      <c r="G626" s="17"/>
      <c r="H626" s="15"/>
      <c r="I626" s="213"/>
      <c r="J626" s="213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1.25" customHeight="1" x14ac:dyDescent="0.25">
      <c r="A627" s="293" t="s">
        <v>292</v>
      </c>
      <c r="B627" s="294" t="s">
        <v>293</v>
      </c>
      <c r="C627" s="336">
        <f>B624</f>
        <v>0</v>
      </c>
      <c r="D627" s="337"/>
      <c r="E627" s="292"/>
      <c r="F627" s="17"/>
      <c r="G627" s="17"/>
      <c r="H627" s="15"/>
      <c r="I627" s="213"/>
      <c r="J627" s="213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334" t="s">
        <v>294</v>
      </c>
      <c r="B628" s="294" t="s">
        <v>295</v>
      </c>
      <c r="C628" s="295">
        <f>C627</f>
        <v>0</v>
      </c>
      <c r="D628" s="338"/>
      <c r="E628" s="295">
        <f>C628*D627</f>
        <v>0</v>
      </c>
      <c r="F628" s="17"/>
      <c r="G628" s="17"/>
      <c r="H628" s="15"/>
      <c r="I628" s="213"/>
      <c r="J628" s="213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1.25" customHeight="1" x14ac:dyDescent="0.25">
      <c r="A629" s="15"/>
      <c r="B629" s="15"/>
      <c r="C629" s="15"/>
      <c r="D629" s="17"/>
      <c r="E629" s="17"/>
      <c r="F629" s="327">
        <f>SUM(E627:E628)</f>
        <v>0</v>
      </c>
      <c r="G629" s="17"/>
      <c r="H629" s="15"/>
      <c r="I629" s="213"/>
      <c r="J629" s="213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1.25" customHeight="1" x14ac:dyDescent="0.25">
      <c r="A630" s="15"/>
      <c r="B630" s="15"/>
      <c r="C630" s="15"/>
      <c r="D630" s="17"/>
      <c r="E630" s="17"/>
      <c r="F630" s="17"/>
      <c r="G630" s="17"/>
      <c r="H630" s="15"/>
      <c r="I630" s="213"/>
      <c r="J630" s="213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1.25" customHeight="1" x14ac:dyDescent="0.25">
      <c r="A631" s="15" t="s">
        <v>374</v>
      </c>
      <c r="B631" s="15"/>
      <c r="C631" s="15"/>
      <c r="D631" s="17"/>
      <c r="E631" s="17"/>
      <c r="F631" s="17"/>
      <c r="G631" s="17"/>
      <c r="H631" s="15"/>
      <c r="I631" s="213"/>
      <c r="J631" s="213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1.25" customHeight="1" x14ac:dyDescent="0.25">
      <c r="A632" s="284" t="s">
        <v>227</v>
      </c>
      <c r="B632" s="285" t="s">
        <v>98</v>
      </c>
      <c r="C632" s="285" t="s">
        <v>55</v>
      </c>
      <c r="D632" s="286" t="s">
        <v>228</v>
      </c>
      <c r="E632" s="286" t="s">
        <v>229</v>
      </c>
      <c r="F632" s="287" t="s">
        <v>230</v>
      </c>
      <c r="G632" s="17"/>
      <c r="H632" s="15"/>
      <c r="I632" s="213"/>
      <c r="J632" s="213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1.25" customHeight="1" x14ac:dyDescent="0.25">
      <c r="A633" s="289" t="s">
        <v>375</v>
      </c>
      <c r="B633" s="290" t="s">
        <v>334</v>
      </c>
      <c r="C633" s="332">
        <f>'0. Qtdades e Custos'!S59/('0. Qtdades e Custos'!Q59*12)</f>
        <v>1.0714285714285714E-2</v>
      </c>
      <c r="D633" s="291">
        <f>D593</f>
        <v>0</v>
      </c>
      <c r="E633" s="292">
        <f>C633*D633</f>
        <v>0</v>
      </c>
      <c r="F633" s="17"/>
      <c r="G633" s="17"/>
      <c r="H633" s="15"/>
      <c r="I633" s="213"/>
      <c r="J633" s="213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1.25" customHeight="1" x14ac:dyDescent="0.25">
      <c r="A634" s="15"/>
      <c r="B634" s="15"/>
      <c r="C634" s="15"/>
      <c r="D634" s="17"/>
      <c r="E634" s="17"/>
      <c r="F634" s="327">
        <f>E633</f>
        <v>0</v>
      </c>
      <c r="G634" s="17"/>
      <c r="H634" s="15"/>
      <c r="I634" s="213"/>
      <c r="J634" s="213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1.25" customHeight="1" x14ac:dyDescent="0.25">
      <c r="A635" s="15"/>
      <c r="B635" s="15"/>
      <c r="C635" s="15"/>
      <c r="D635" s="17"/>
      <c r="E635" s="17"/>
      <c r="F635" s="17"/>
      <c r="G635" s="17"/>
      <c r="H635" s="15"/>
      <c r="I635" s="213"/>
      <c r="J635" s="213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1.25" customHeight="1" x14ac:dyDescent="0.25">
      <c r="A636" s="15" t="s">
        <v>376</v>
      </c>
      <c r="B636" s="15"/>
      <c r="C636" s="15"/>
      <c r="D636" s="17"/>
      <c r="E636" s="17"/>
      <c r="F636" s="17"/>
      <c r="G636" s="17"/>
      <c r="H636" s="15"/>
      <c r="I636" s="213"/>
      <c r="J636" s="213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1.25" customHeight="1" x14ac:dyDescent="0.25">
      <c r="A637" s="284" t="s">
        <v>227</v>
      </c>
      <c r="B637" s="285" t="s">
        <v>98</v>
      </c>
      <c r="C637" s="285" t="s">
        <v>55</v>
      </c>
      <c r="D637" s="286" t="s">
        <v>228</v>
      </c>
      <c r="E637" s="286" t="s">
        <v>229</v>
      </c>
      <c r="F637" s="287" t="s">
        <v>230</v>
      </c>
      <c r="G637" s="17"/>
      <c r="H637" s="15"/>
      <c r="I637" s="213"/>
      <c r="J637" s="213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1.25" customHeight="1" x14ac:dyDescent="0.25">
      <c r="A638" s="289" t="s">
        <v>301</v>
      </c>
      <c r="B638" s="290" t="s">
        <v>255</v>
      </c>
      <c r="C638" s="341">
        <v>6</v>
      </c>
      <c r="D638" s="291"/>
      <c r="E638" s="292">
        <f>C638*D638</f>
        <v>0</v>
      </c>
      <c r="F638" s="17"/>
      <c r="G638" s="17"/>
      <c r="H638" s="15"/>
      <c r="I638" s="213"/>
      <c r="J638" s="213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1.25" customHeight="1" x14ac:dyDescent="0.25">
      <c r="A639" s="289" t="s">
        <v>302</v>
      </c>
      <c r="B639" s="290" t="s">
        <v>255</v>
      </c>
      <c r="C639" s="341">
        <v>1</v>
      </c>
      <c r="D639" s="292"/>
      <c r="E639" s="292"/>
      <c r="F639" s="17"/>
      <c r="G639" s="17"/>
      <c r="H639" s="15"/>
      <c r="I639" s="213"/>
      <c r="J639" s="213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1.25" customHeight="1" x14ac:dyDescent="0.25">
      <c r="A640" s="289" t="s">
        <v>303</v>
      </c>
      <c r="B640" s="290" t="s">
        <v>255</v>
      </c>
      <c r="C640" s="292">
        <f>C638*C639</f>
        <v>6</v>
      </c>
      <c r="D640" s="291"/>
      <c r="E640" s="292">
        <f>C640*D640</f>
        <v>0</v>
      </c>
      <c r="F640" s="17"/>
      <c r="G640" s="17"/>
      <c r="H640" s="15"/>
      <c r="I640" s="213"/>
      <c r="J640" s="213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1.25" customHeight="1" x14ac:dyDescent="0.25">
      <c r="A641" s="293" t="s">
        <v>304</v>
      </c>
      <c r="B641" s="294" t="s">
        <v>305</v>
      </c>
      <c r="C641" s="342">
        <v>50000</v>
      </c>
      <c r="D641" s="295">
        <f>E638+E640</f>
        <v>0</v>
      </c>
      <c r="E641" s="295">
        <f>IFERROR(D641/C641,"-")</f>
        <v>0</v>
      </c>
      <c r="F641" s="17"/>
      <c r="G641" s="17"/>
      <c r="H641" s="15"/>
      <c r="I641" s="213"/>
      <c r="J641" s="213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1.25" customHeight="1" x14ac:dyDescent="0.25">
      <c r="A642" s="293" t="s">
        <v>306</v>
      </c>
      <c r="B642" s="294" t="s">
        <v>307</v>
      </c>
      <c r="C642" s="307">
        <f>B623</f>
        <v>720</v>
      </c>
      <c r="D642" s="295">
        <f>E641</f>
        <v>0</v>
      </c>
      <c r="E642" s="295">
        <f>IFERROR(C642*D642,0)</f>
        <v>0</v>
      </c>
      <c r="F642" s="17"/>
      <c r="G642" s="17"/>
      <c r="H642" s="15"/>
      <c r="I642" s="213"/>
      <c r="J642" s="213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1.25" customHeight="1" x14ac:dyDescent="0.25">
      <c r="A643" s="15"/>
      <c r="B643" s="15"/>
      <c r="C643" s="15"/>
      <c r="D643" s="17"/>
      <c r="E643" s="17"/>
      <c r="F643" s="327">
        <f>E642</f>
        <v>0</v>
      </c>
      <c r="G643" s="17"/>
      <c r="H643" s="15"/>
      <c r="I643" s="213"/>
      <c r="J643" s="213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1.25" customHeight="1" x14ac:dyDescent="0.25">
      <c r="A644" s="15"/>
      <c r="B644" s="15"/>
      <c r="C644" s="15"/>
      <c r="D644" s="17"/>
      <c r="E644" s="17"/>
      <c r="F644" s="17"/>
      <c r="G644" s="17"/>
      <c r="H644" s="15"/>
      <c r="I644" s="213"/>
      <c r="J644" s="213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1.25" customHeight="1" x14ac:dyDescent="0.25">
      <c r="A645" s="377" t="s">
        <v>377</v>
      </c>
      <c r="B645" s="377"/>
      <c r="C645" s="377"/>
      <c r="D645" s="378"/>
      <c r="E645" s="378"/>
      <c r="F645" s="378"/>
      <c r="G645" s="17"/>
      <c r="H645" s="15"/>
      <c r="I645" s="213"/>
      <c r="J645" s="213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1.25" customHeight="1" x14ac:dyDescent="0.25">
      <c r="A646" s="349" t="s">
        <v>227</v>
      </c>
      <c r="B646" s="350" t="s">
        <v>98</v>
      </c>
      <c r="C646" s="350" t="s">
        <v>55</v>
      </c>
      <c r="D646" s="351" t="s">
        <v>228</v>
      </c>
      <c r="E646" s="351" t="s">
        <v>229</v>
      </c>
      <c r="F646" s="352" t="s">
        <v>312</v>
      </c>
      <c r="G646" s="17"/>
      <c r="H646" s="15"/>
      <c r="I646" s="213"/>
      <c r="J646" s="213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1.25" customHeight="1" x14ac:dyDescent="0.25">
      <c r="A647" s="379" t="s">
        <v>313</v>
      </c>
      <c r="B647" s="322" t="s">
        <v>314</v>
      </c>
      <c r="C647" s="322">
        <v>4</v>
      </c>
      <c r="D647" s="354">
        <f>'0. Qtdades e Custos'!D225</f>
        <v>0</v>
      </c>
      <c r="E647" s="355">
        <f>D647*C647</f>
        <v>0</v>
      </c>
      <c r="F647" s="378"/>
      <c r="G647" s="17"/>
      <c r="H647" s="15"/>
      <c r="I647" s="213"/>
      <c r="J647" s="213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1.25" customHeight="1" x14ac:dyDescent="0.25">
      <c r="A648" s="379" t="s">
        <v>315</v>
      </c>
      <c r="B648" s="322" t="s">
        <v>232</v>
      </c>
      <c r="C648" s="322">
        <v>60</v>
      </c>
      <c r="D648" s="355">
        <f>D647</f>
        <v>0</v>
      </c>
      <c r="E648" s="355">
        <f>D648/C648</f>
        <v>0</v>
      </c>
      <c r="F648" s="378"/>
      <c r="G648" s="17"/>
      <c r="H648" s="15"/>
      <c r="I648" s="213"/>
      <c r="J648" s="213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1.25" customHeight="1" x14ac:dyDescent="0.25">
      <c r="A649" s="379" t="s">
        <v>316</v>
      </c>
      <c r="B649" s="322" t="s">
        <v>317</v>
      </c>
      <c r="C649" s="322">
        <v>4</v>
      </c>
      <c r="D649" s="354">
        <f>'0. Qtdades e Custos'!D226</f>
        <v>0</v>
      </c>
      <c r="E649" s="355">
        <f>D649*C649</f>
        <v>0</v>
      </c>
      <c r="F649" s="378"/>
      <c r="G649" s="17"/>
      <c r="H649" s="15"/>
      <c r="I649" s="213"/>
      <c r="J649" s="213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1.25" customHeight="1" x14ac:dyDescent="0.25">
      <c r="A650" s="380" t="s">
        <v>318</v>
      </c>
      <c r="B650" s="381"/>
      <c r="C650" s="382"/>
      <c r="D650" s="383"/>
      <c r="E650" s="361">
        <f>E649+E648</f>
        <v>0</v>
      </c>
      <c r="F650" s="378"/>
      <c r="G650" s="17"/>
      <c r="H650" s="15"/>
      <c r="I650" s="213"/>
      <c r="J650" s="213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1.25" customHeight="1" x14ac:dyDescent="0.25">
      <c r="A651" s="377"/>
      <c r="B651" s="377"/>
      <c r="C651" s="377"/>
      <c r="D651" s="362" t="s">
        <v>239</v>
      </c>
      <c r="E651" s="363">
        <v>1</v>
      </c>
      <c r="F651" s="364">
        <f>(E650)*E651</f>
        <v>0</v>
      </c>
      <c r="G651" s="17"/>
      <c r="H651" s="15"/>
      <c r="I651" s="213"/>
      <c r="J651" s="213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1.25" customHeight="1" x14ac:dyDescent="0.25">
      <c r="A652" s="377"/>
      <c r="B652" s="377"/>
      <c r="C652" s="377"/>
      <c r="D652" s="378"/>
      <c r="E652" s="378"/>
      <c r="F652" s="378"/>
      <c r="G652" s="17"/>
      <c r="H652" s="15"/>
      <c r="I652" s="213"/>
      <c r="J652" s="213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1.25" customHeight="1" x14ac:dyDescent="0.25">
      <c r="A653" s="384" t="s">
        <v>319</v>
      </c>
      <c r="B653" s="385"/>
      <c r="C653" s="385"/>
      <c r="D653" s="386"/>
      <c r="E653" s="387"/>
      <c r="F653" s="369">
        <f>F651</f>
        <v>0</v>
      </c>
      <c r="G653" s="17"/>
      <c r="H653" s="15"/>
      <c r="I653" s="213"/>
      <c r="J653" s="213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1.25" customHeight="1" x14ac:dyDescent="0.25">
      <c r="A654" s="15"/>
      <c r="B654" s="15"/>
      <c r="C654" s="15"/>
      <c r="D654" s="17"/>
      <c r="E654" s="17"/>
      <c r="F654" s="17"/>
      <c r="G654" s="17"/>
      <c r="H654" s="15"/>
      <c r="I654" s="213"/>
      <c r="J654" s="213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1.25" customHeight="1" x14ac:dyDescent="0.25">
      <c r="A655" s="15"/>
      <c r="B655" s="15"/>
      <c r="C655" s="15"/>
      <c r="D655" s="17"/>
      <c r="E655" s="17"/>
      <c r="F655" s="17"/>
      <c r="G655" s="17"/>
      <c r="H655" s="15"/>
      <c r="I655" s="213"/>
      <c r="J655" s="213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1.25" customHeight="1" x14ac:dyDescent="0.25">
      <c r="A656" s="15"/>
      <c r="B656" s="15"/>
      <c r="C656" s="15"/>
      <c r="D656" s="17"/>
      <c r="E656" s="17"/>
      <c r="F656" s="17"/>
      <c r="G656" s="17"/>
      <c r="H656" s="15"/>
      <c r="I656" s="213"/>
      <c r="J656" s="213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1.25" customHeight="1" x14ac:dyDescent="0.25">
      <c r="A657" s="373" t="s">
        <v>378</v>
      </c>
      <c r="B657" s="374"/>
      <c r="C657" s="374"/>
      <c r="D657" s="375"/>
      <c r="E657" s="17"/>
      <c r="F657" s="17"/>
      <c r="G657" s="17"/>
      <c r="H657" s="15"/>
      <c r="I657" s="213"/>
      <c r="J657" s="213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1.25" customHeight="1" x14ac:dyDescent="0.25">
      <c r="A658" s="15"/>
      <c r="B658" s="15"/>
      <c r="C658" s="15"/>
      <c r="D658" s="17"/>
      <c r="E658" s="17"/>
      <c r="F658" s="17"/>
      <c r="G658" s="17"/>
      <c r="H658" s="15"/>
      <c r="I658" s="213"/>
      <c r="J658" s="213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1.25" customHeight="1" x14ac:dyDescent="0.25">
      <c r="A659" s="211" t="s">
        <v>379</v>
      </c>
      <c r="B659" s="15"/>
      <c r="C659" s="15"/>
      <c r="D659" s="17"/>
      <c r="E659" s="17"/>
      <c r="F659" s="17"/>
      <c r="G659" s="17"/>
      <c r="H659" s="15"/>
      <c r="I659" s="213"/>
      <c r="J659" s="213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1.25" customHeight="1" x14ac:dyDescent="0.25">
      <c r="A660" s="284" t="s">
        <v>227</v>
      </c>
      <c r="B660" s="285" t="s">
        <v>98</v>
      </c>
      <c r="C660" s="285" t="s">
        <v>55</v>
      </c>
      <c r="D660" s="286" t="s">
        <v>228</v>
      </c>
      <c r="E660" s="286" t="s">
        <v>229</v>
      </c>
      <c r="F660" s="287" t="s">
        <v>230</v>
      </c>
      <c r="G660" s="17"/>
      <c r="H660" s="15"/>
      <c r="I660" s="213"/>
      <c r="J660" s="213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1.25" customHeight="1" x14ac:dyDescent="0.25">
      <c r="A661" s="289" t="s">
        <v>269</v>
      </c>
      <c r="B661" s="290" t="s">
        <v>255</v>
      </c>
      <c r="C661" s="290">
        <v>1</v>
      </c>
      <c r="D661" s="291">
        <f>'0. Qtdades e Custos'!N60</f>
        <v>0</v>
      </c>
      <c r="E661" s="292">
        <f>C661*D661</f>
        <v>0</v>
      </c>
      <c r="F661" s="17"/>
      <c r="G661" s="17"/>
      <c r="H661" s="15"/>
      <c r="I661" s="213"/>
      <c r="J661" s="213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1.25" customHeight="1" x14ac:dyDescent="0.25">
      <c r="A662" s="293" t="s">
        <v>270</v>
      </c>
      <c r="B662" s="294" t="s">
        <v>271</v>
      </c>
      <c r="C662" s="321">
        <f>'0. Qtdades e Custos'!Q60</f>
        <v>3</v>
      </c>
      <c r="D662" s="295"/>
      <c r="E662" s="295"/>
      <c r="F662" s="17"/>
      <c r="G662" s="17"/>
      <c r="H662" s="15"/>
      <c r="I662" s="213"/>
      <c r="J662" s="213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1.25" customHeight="1" x14ac:dyDescent="0.25">
      <c r="A663" s="293" t="s">
        <v>272</v>
      </c>
      <c r="B663" s="294" t="s">
        <v>271</v>
      </c>
      <c r="C663" s="299">
        <v>0</v>
      </c>
      <c r="D663" s="295"/>
      <c r="E663" s="295"/>
      <c r="F663" s="142"/>
      <c r="G663" s="17"/>
      <c r="H663" s="15"/>
      <c r="I663" s="213"/>
      <c r="J663" s="213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1.25" customHeight="1" x14ac:dyDescent="0.25">
      <c r="A664" s="293" t="s">
        <v>273</v>
      </c>
      <c r="B664" s="294" t="s">
        <v>207</v>
      </c>
      <c r="C664" s="298">
        <f>IFERROR(VLOOKUP(C662,'9. Depreciação'!A3:B17,2,0),0)</f>
        <v>48.68</v>
      </c>
      <c r="D664" s="295">
        <f>E661</f>
        <v>0</v>
      </c>
      <c r="E664" s="295">
        <f>C664*D664/100</f>
        <v>0</v>
      </c>
      <c r="F664" s="17"/>
      <c r="G664" s="17"/>
      <c r="H664" s="15"/>
      <c r="I664" s="213"/>
      <c r="J664" s="213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1.25" customHeight="1" x14ac:dyDescent="0.25">
      <c r="A665" s="328" t="s">
        <v>370</v>
      </c>
      <c r="B665" s="329" t="s">
        <v>232</v>
      </c>
      <c r="C665" s="329">
        <f>C662*12</f>
        <v>36</v>
      </c>
      <c r="D665" s="330">
        <f>IF(C663&lt;=C662,E664,0)</f>
        <v>0</v>
      </c>
      <c r="E665" s="330">
        <f>IFERROR(D665/C665,0)</f>
        <v>0</v>
      </c>
      <c r="F665" s="17"/>
      <c r="G665" s="17"/>
      <c r="H665" s="15"/>
      <c r="I665" s="213"/>
      <c r="J665" s="213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1.25" customHeight="1" x14ac:dyDescent="0.25">
      <c r="A666" s="296" t="s">
        <v>275</v>
      </c>
      <c r="B666" s="143"/>
      <c r="C666" s="143"/>
      <c r="D666" s="42"/>
      <c r="E666" s="297">
        <f>E665</f>
        <v>0</v>
      </c>
      <c r="F666" s="17"/>
      <c r="G666" s="17"/>
      <c r="H666" s="15"/>
      <c r="I666" s="213"/>
      <c r="J666" s="213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1.25" customHeight="1" x14ac:dyDescent="0.25">
      <c r="A667" s="181" t="s">
        <v>276</v>
      </c>
      <c r="B667" s="331" t="s">
        <v>255</v>
      </c>
      <c r="C667" s="321">
        <f>'0. Qtdades e Custos'!P60</f>
        <v>32</v>
      </c>
      <c r="D667" s="303">
        <f>E666</f>
        <v>0</v>
      </c>
      <c r="E667" s="297">
        <f>C667*D667</f>
        <v>0</v>
      </c>
      <c r="F667" s="17"/>
      <c r="G667" s="17"/>
      <c r="H667" s="15"/>
      <c r="I667" s="213"/>
      <c r="J667" s="213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1.25" customHeight="1" x14ac:dyDescent="0.25">
      <c r="A668" s="214"/>
      <c r="B668" s="214"/>
      <c r="C668" s="214"/>
      <c r="D668" s="205" t="s">
        <v>239</v>
      </c>
      <c r="E668" s="300">
        <f>$B$101</f>
        <v>1</v>
      </c>
      <c r="F668" s="327">
        <f>E667*E668</f>
        <v>0</v>
      </c>
      <c r="G668" s="17"/>
      <c r="H668" s="15"/>
      <c r="I668" s="213"/>
      <c r="J668" s="213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1.25" customHeight="1" x14ac:dyDescent="0.25">
      <c r="A669" s="15"/>
      <c r="B669" s="15"/>
      <c r="C669" s="15"/>
      <c r="D669" s="17"/>
      <c r="E669" s="17"/>
      <c r="F669" s="17"/>
      <c r="G669" s="17"/>
      <c r="H669" s="15"/>
      <c r="I669" s="213"/>
      <c r="J669" s="213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1.25" customHeight="1" x14ac:dyDescent="0.25">
      <c r="A670" s="211" t="s">
        <v>380</v>
      </c>
      <c r="B670" s="15"/>
      <c r="C670" s="15"/>
      <c r="D670" s="17"/>
      <c r="E670" s="17"/>
      <c r="F670" s="17"/>
      <c r="G670" s="17"/>
      <c r="H670" s="15"/>
      <c r="I670" s="213"/>
      <c r="J670" s="213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1.25" customHeight="1" x14ac:dyDescent="0.25">
      <c r="A671" s="284" t="s">
        <v>227</v>
      </c>
      <c r="B671" s="285" t="s">
        <v>98</v>
      </c>
      <c r="C671" s="285" t="s">
        <v>55</v>
      </c>
      <c r="D671" s="286" t="s">
        <v>228</v>
      </c>
      <c r="E671" s="286" t="s">
        <v>229</v>
      </c>
      <c r="F671" s="287" t="s">
        <v>230</v>
      </c>
      <c r="G671" s="17"/>
      <c r="H671" s="15"/>
      <c r="I671" s="213"/>
      <c r="J671" s="213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1.25" customHeight="1" x14ac:dyDescent="0.25">
      <c r="A672" s="289" t="s">
        <v>278</v>
      </c>
      <c r="B672" s="290" t="s">
        <v>255</v>
      </c>
      <c r="C672" s="290">
        <v>1</v>
      </c>
      <c r="D672" s="292">
        <f>D661</f>
        <v>0</v>
      </c>
      <c r="E672" s="292">
        <f>C672*D672</f>
        <v>0</v>
      </c>
      <c r="F672" s="142"/>
      <c r="G672" s="17"/>
      <c r="H672" s="15"/>
      <c r="I672" s="213"/>
      <c r="J672" s="213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1.25" customHeight="1" x14ac:dyDescent="0.25">
      <c r="A673" s="293" t="s">
        <v>279</v>
      </c>
      <c r="B673" s="294" t="s">
        <v>207</v>
      </c>
      <c r="C673" s="299">
        <v>14.75</v>
      </c>
      <c r="D673" s="295"/>
      <c r="E673" s="295"/>
      <c r="F673" s="142"/>
      <c r="G673" s="17"/>
      <c r="H673" s="15"/>
      <c r="I673" s="213"/>
      <c r="J673" s="213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1.25" customHeight="1" x14ac:dyDescent="0.25">
      <c r="A674" s="293" t="s">
        <v>280</v>
      </c>
      <c r="B674" s="294" t="s">
        <v>250</v>
      </c>
      <c r="C674" s="295">
        <f>IFERROR(IF(C663&lt;=C662,E661-(C664/(100*C662)*C663)*E661,E661-E664),0)</f>
        <v>0</v>
      </c>
      <c r="D674" s="295"/>
      <c r="E674" s="295"/>
      <c r="F674" s="142"/>
      <c r="G674" s="17"/>
      <c r="H674" s="15"/>
      <c r="I674" s="213"/>
      <c r="J674" s="213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1.25" customHeight="1" x14ac:dyDescent="0.25">
      <c r="A675" s="293" t="s">
        <v>281</v>
      </c>
      <c r="B675" s="294" t="s">
        <v>250</v>
      </c>
      <c r="C675" s="295">
        <f>IFERROR(IF(C663&gt;=C662,C674,((((C674)-(E661-E664))*(((C662-C663)+1)/(2*(C662-C663))))+(E661-E664))),0)</f>
        <v>0</v>
      </c>
      <c r="D675" s="295"/>
      <c r="E675" s="295"/>
      <c r="F675" s="142"/>
      <c r="G675" s="17"/>
      <c r="H675" s="15"/>
      <c r="I675" s="213"/>
      <c r="J675" s="213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1.25" customHeight="1" x14ac:dyDescent="0.25">
      <c r="A676" s="328" t="s">
        <v>282</v>
      </c>
      <c r="B676" s="329" t="s">
        <v>250</v>
      </c>
      <c r="C676" s="329"/>
      <c r="D676" s="330">
        <f>C673*C675/12/100</f>
        <v>0</v>
      </c>
      <c r="E676" s="330">
        <f>D676</f>
        <v>0</v>
      </c>
      <c r="F676" s="142"/>
      <c r="G676" s="17"/>
      <c r="H676" s="15"/>
      <c r="I676" s="213"/>
      <c r="J676" s="213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1.25" customHeight="1" x14ac:dyDescent="0.25">
      <c r="A677" s="296" t="s">
        <v>275</v>
      </c>
      <c r="B677" s="143"/>
      <c r="C677" s="143"/>
      <c r="D677" s="42"/>
      <c r="E677" s="297">
        <f>E676</f>
        <v>0</v>
      </c>
      <c r="F677" s="142"/>
      <c r="G677" s="17"/>
      <c r="H677" s="15"/>
      <c r="I677" s="213"/>
      <c r="J677" s="213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1.25" customHeight="1" x14ac:dyDescent="0.25">
      <c r="A678" s="181" t="s">
        <v>276</v>
      </c>
      <c r="B678" s="331" t="s">
        <v>255</v>
      </c>
      <c r="C678" s="332">
        <f>C667</f>
        <v>32</v>
      </c>
      <c r="D678" s="303">
        <f>E677</f>
        <v>0</v>
      </c>
      <c r="E678" s="297">
        <f>C678*D678</f>
        <v>0</v>
      </c>
      <c r="F678" s="142"/>
      <c r="G678" s="17"/>
      <c r="H678" s="15"/>
      <c r="I678" s="213"/>
      <c r="J678" s="213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1.25" customHeight="1" x14ac:dyDescent="0.25">
      <c r="A679" s="15"/>
      <c r="B679" s="15"/>
      <c r="C679" s="141"/>
      <c r="D679" s="205" t="s">
        <v>239</v>
      </c>
      <c r="E679" s="300">
        <f>$B$101</f>
        <v>1</v>
      </c>
      <c r="F679" s="327">
        <f>E678*E679</f>
        <v>0</v>
      </c>
      <c r="G679" s="17"/>
      <c r="H679" s="15"/>
      <c r="I679" s="213"/>
      <c r="J679" s="213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1.25" customHeight="1" x14ac:dyDescent="0.25">
      <c r="A680" s="15"/>
      <c r="B680" s="15"/>
      <c r="C680" s="15"/>
      <c r="D680" s="17"/>
      <c r="E680" s="17"/>
      <c r="F680" s="17"/>
      <c r="G680" s="17"/>
      <c r="H680" s="15"/>
      <c r="I680" s="213"/>
      <c r="J680" s="213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1.25" customHeight="1" x14ac:dyDescent="0.25">
      <c r="A681" s="15" t="s">
        <v>381</v>
      </c>
      <c r="B681" s="215"/>
      <c r="C681" s="15"/>
      <c r="D681" s="17"/>
      <c r="E681" s="17"/>
      <c r="F681" s="17"/>
      <c r="G681" s="17"/>
      <c r="H681" s="15"/>
      <c r="I681" s="213"/>
      <c r="J681" s="213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1.25" customHeight="1" x14ac:dyDescent="0.25">
      <c r="A682" s="15"/>
      <c r="B682" s="215"/>
      <c r="C682" s="15"/>
      <c r="D682" s="17"/>
      <c r="E682" s="17"/>
      <c r="F682" s="17"/>
      <c r="G682" s="17"/>
      <c r="H682" s="15"/>
      <c r="I682" s="213"/>
      <c r="J682" s="213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334" t="s">
        <v>290</v>
      </c>
      <c r="B683" s="335">
        <f>'0. Qtdades e Custos'!Y60</f>
        <v>0</v>
      </c>
      <c r="C683" s="15"/>
      <c r="D683" s="17"/>
      <c r="E683" s="17"/>
      <c r="F683" s="17"/>
      <c r="G683" s="17"/>
      <c r="H683" s="15"/>
      <c r="I683" s="213"/>
      <c r="J683" s="213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1.25" customHeight="1" x14ac:dyDescent="0.25">
      <c r="A684" s="15"/>
      <c r="B684" s="215"/>
      <c r="C684" s="15"/>
      <c r="D684" s="17"/>
      <c r="E684" s="17"/>
      <c r="F684" s="17"/>
      <c r="G684" s="17"/>
      <c r="H684" s="15"/>
      <c r="I684" s="213"/>
      <c r="J684" s="213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1.25" customHeight="1" x14ac:dyDescent="0.25">
      <c r="A685" s="284" t="s">
        <v>227</v>
      </c>
      <c r="B685" s="285" t="s">
        <v>98</v>
      </c>
      <c r="C685" s="285" t="s">
        <v>291</v>
      </c>
      <c r="D685" s="286" t="s">
        <v>228</v>
      </c>
      <c r="E685" s="286" t="s">
        <v>229</v>
      </c>
      <c r="F685" s="287" t="s">
        <v>230</v>
      </c>
      <c r="G685" s="17"/>
      <c r="H685" s="15"/>
      <c r="I685" s="213"/>
      <c r="J685" s="213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293" t="s">
        <v>382</v>
      </c>
      <c r="B686" s="294" t="s">
        <v>293</v>
      </c>
      <c r="C686" s="336">
        <f>B683</f>
        <v>0</v>
      </c>
      <c r="D686" s="337">
        <v>6.2</v>
      </c>
      <c r="E686" s="292"/>
      <c r="F686" s="17"/>
      <c r="G686" s="17"/>
      <c r="H686" s="15"/>
      <c r="I686" s="213"/>
      <c r="J686" s="213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334" t="s">
        <v>294</v>
      </c>
      <c r="B687" s="294" t="s">
        <v>295</v>
      </c>
      <c r="C687" s="295">
        <f>C686</f>
        <v>0</v>
      </c>
      <c r="D687" s="338"/>
      <c r="E687" s="295">
        <f>C687*D686</f>
        <v>0</v>
      </c>
      <c r="F687" s="17"/>
      <c r="G687" s="17"/>
      <c r="H687" s="15"/>
      <c r="I687" s="213"/>
      <c r="J687" s="213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1.25" customHeight="1" x14ac:dyDescent="0.25">
      <c r="A688" s="15"/>
      <c r="B688" s="15"/>
      <c r="C688" s="15"/>
      <c r="D688" s="17"/>
      <c r="E688" s="17"/>
      <c r="F688" s="327">
        <f>SUM(E686:E687)</f>
        <v>0</v>
      </c>
      <c r="G688" s="17"/>
      <c r="H688" s="15"/>
      <c r="I688" s="213"/>
      <c r="J688" s="213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1.25" customHeight="1" x14ac:dyDescent="0.25">
      <c r="A689" s="15"/>
      <c r="B689" s="15"/>
      <c r="C689" s="15"/>
      <c r="D689" s="17"/>
      <c r="E689" s="17"/>
      <c r="F689" s="17"/>
      <c r="G689" s="17"/>
      <c r="H689" s="15"/>
      <c r="I689" s="213"/>
      <c r="J689" s="213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1.25" customHeight="1" x14ac:dyDescent="0.25">
      <c r="A690" s="373" t="s">
        <v>383</v>
      </c>
      <c r="B690" s="374"/>
      <c r="C690" s="374"/>
      <c r="D690" s="375"/>
      <c r="E690" s="17"/>
      <c r="F690" s="17"/>
      <c r="G690" s="17"/>
      <c r="H690" s="15"/>
      <c r="I690" s="213"/>
      <c r="J690" s="213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1.25" customHeight="1" x14ac:dyDescent="0.25">
      <c r="A691" s="15"/>
      <c r="B691" s="15"/>
      <c r="C691" s="15"/>
      <c r="D691" s="17"/>
      <c r="E691" s="17"/>
      <c r="F691" s="17"/>
      <c r="G691" s="17"/>
      <c r="H691" s="15"/>
      <c r="I691" s="213"/>
      <c r="J691" s="213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1.25" customHeight="1" x14ac:dyDescent="0.25">
      <c r="A692" s="211" t="s">
        <v>384</v>
      </c>
      <c r="B692" s="15"/>
      <c r="C692" s="15"/>
      <c r="D692" s="17"/>
      <c r="E692" s="17"/>
      <c r="F692" s="17"/>
      <c r="G692" s="17"/>
      <c r="H692" s="15"/>
      <c r="I692" s="213"/>
      <c r="J692" s="213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1.25" customHeight="1" x14ac:dyDescent="0.25">
      <c r="A693" s="284" t="s">
        <v>227</v>
      </c>
      <c r="B693" s="285" t="s">
        <v>98</v>
      </c>
      <c r="C693" s="285" t="s">
        <v>55</v>
      </c>
      <c r="D693" s="286" t="s">
        <v>228</v>
      </c>
      <c r="E693" s="286" t="s">
        <v>229</v>
      </c>
      <c r="F693" s="287" t="s">
        <v>230</v>
      </c>
      <c r="G693" s="17"/>
      <c r="H693" s="15"/>
      <c r="I693" s="213"/>
      <c r="J693" s="213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1.25" customHeight="1" x14ac:dyDescent="0.25">
      <c r="A694" s="289" t="s">
        <v>269</v>
      </c>
      <c r="B694" s="290" t="s">
        <v>255</v>
      </c>
      <c r="C694" s="290">
        <v>1</v>
      </c>
      <c r="D694" s="291">
        <f>'0. Qtdades e Custos'!N61</f>
        <v>0</v>
      </c>
      <c r="E694" s="292">
        <f>C694*D694</f>
        <v>0</v>
      </c>
      <c r="F694" s="17"/>
      <c r="G694" s="17"/>
      <c r="H694" s="15"/>
      <c r="I694" s="213"/>
      <c r="J694" s="213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1.25" customHeight="1" x14ac:dyDescent="0.25">
      <c r="A695" s="293" t="s">
        <v>270</v>
      </c>
      <c r="B695" s="294" t="s">
        <v>271</v>
      </c>
      <c r="C695" s="321">
        <f>'0. Qtdades e Custos'!Q61</f>
        <v>5</v>
      </c>
      <c r="D695" s="295"/>
      <c r="E695" s="295"/>
      <c r="F695" s="17"/>
      <c r="G695" s="17"/>
      <c r="H695" s="15"/>
      <c r="I695" s="213"/>
      <c r="J695" s="213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1.25" customHeight="1" x14ac:dyDescent="0.25">
      <c r="A696" s="293" t="s">
        <v>272</v>
      </c>
      <c r="B696" s="294" t="s">
        <v>271</v>
      </c>
      <c r="C696" s="299">
        <v>0</v>
      </c>
      <c r="D696" s="295"/>
      <c r="E696" s="295"/>
      <c r="F696" s="142"/>
      <c r="G696" s="17"/>
      <c r="H696" s="15"/>
      <c r="I696" s="213"/>
      <c r="J696" s="213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1.25" customHeight="1" x14ac:dyDescent="0.25">
      <c r="A697" s="293" t="s">
        <v>273</v>
      </c>
      <c r="B697" s="294" t="s">
        <v>207</v>
      </c>
      <c r="C697" s="298">
        <f>IFERROR(VLOOKUP(C695,'9. Depreciação'!A3:B17,2,0),0)</f>
        <v>55.68</v>
      </c>
      <c r="D697" s="295">
        <f>E694</f>
        <v>0</v>
      </c>
      <c r="E697" s="295">
        <f>C697*D697/100</f>
        <v>0</v>
      </c>
      <c r="F697" s="17"/>
      <c r="G697" s="17"/>
      <c r="H697" s="15"/>
      <c r="I697" s="213"/>
      <c r="J697" s="213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1.25" customHeight="1" x14ac:dyDescent="0.25">
      <c r="A698" s="328" t="s">
        <v>370</v>
      </c>
      <c r="B698" s="329" t="s">
        <v>232</v>
      </c>
      <c r="C698" s="329">
        <f>C695*12</f>
        <v>60</v>
      </c>
      <c r="D698" s="330">
        <f>IF(C696&lt;=C695,E697,0)</f>
        <v>0</v>
      </c>
      <c r="E698" s="330">
        <f>IFERROR(D698/C698,0)</f>
        <v>0</v>
      </c>
      <c r="F698" s="17"/>
      <c r="G698" s="17"/>
      <c r="H698" s="15"/>
      <c r="I698" s="213"/>
      <c r="J698" s="213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1.25" customHeight="1" x14ac:dyDescent="0.25">
      <c r="A699" s="296" t="s">
        <v>275</v>
      </c>
      <c r="B699" s="143"/>
      <c r="C699" s="143"/>
      <c r="D699" s="42"/>
      <c r="E699" s="297">
        <f>E698</f>
        <v>0</v>
      </c>
      <c r="F699" s="17"/>
      <c r="G699" s="17"/>
      <c r="H699" s="15"/>
      <c r="I699" s="213"/>
      <c r="J699" s="213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1.25" customHeight="1" x14ac:dyDescent="0.25">
      <c r="A700" s="181" t="s">
        <v>276</v>
      </c>
      <c r="B700" s="331" t="s">
        <v>255</v>
      </c>
      <c r="C700" s="321">
        <f>'0. Qtdades e Custos'!P61</f>
        <v>4</v>
      </c>
      <c r="D700" s="303">
        <f>E699</f>
        <v>0</v>
      </c>
      <c r="E700" s="297">
        <f>C700*D700</f>
        <v>0</v>
      </c>
      <c r="F700" s="17"/>
      <c r="G700" s="17"/>
      <c r="H700" s="15"/>
      <c r="I700" s="213"/>
      <c r="J700" s="213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1.25" customHeight="1" x14ac:dyDescent="0.25">
      <c r="A701" s="214"/>
      <c r="B701" s="214"/>
      <c r="C701" s="214"/>
      <c r="D701" s="205" t="s">
        <v>239</v>
      </c>
      <c r="E701" s="300">
        <f>$B$101</f>
        <v>1</v>
      </c>
      <c r="F701" s="327">
        <f>E700*E701</f>
        <v>0</v>
      </c>
      <c r="G701" s="17"/>
      <c r="H701" s="15"/>
      <c r="I701" s="213"/>
      <c r="J701" s="213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1.25" customHeight="1" x14ac:dyDescent="0.25">
      <c r="A702" s="15"/>
      <c r="B702" s="15"/>
      <c r="C702" s="15"/>
      <c r="D702" s="17"/>
      <c r="E702" s="17"/>
      <c r="F702" s="17"/>
      <c r="G702" s="17"/>
      <c r="H702" s="15"/>
      <c r="I702" s="213"/>
      <c r="J702" s="213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1.25" customHeight="1" x14ac:dyDescent="0.25">
      <c r="A703" s="211" t="s">
        <v>385</v>
      </c>
      <c r="B703" s="15"/>
      <c r="C703" s="15"/>
      <c r="D703" s="17"/>
      <c r="E703" s="17"/>
      <c r="F703" s="17"/>
      <c r="G703" s="17"/>
      <c r="H703" s="15"/>
      <c r="I703" s="213"/>
      <c r="J703" s="213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1.25" customHeight="1" x14ac:dyDescent="0.25">
      <c r="A704" s="284" t="s">
        <v>227</v>
      </c>
      <c r="B704" s="285" t="s">
        <v>98</v>
      </c>
      <c r="C704" s="285" t="s">
        <v>55</v>
      </c>
      <c r="D704" s="286" t="s">
        <v>228</v>
      </c>
      <c r="E704" s="286" t="s">
        <v>229</v>
      </c>
      <c r="F704" s="287" t="s">
        <v>230</v>
      </c>
      <c r="G704" s="17"/>
      <c r="H704" s="15"/>
      <c r="I704" s="213"/>
      <c r="J704" s="213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1.25" customHeight="1" x14ac:dyDescent="0.25">
      <c r="A705" s="289" t="s">
        <v>278</v>
      </c>
      <c r="B705" s="290" t="s">
        <v>255</v>
      </c>
      <c r="C705" s="290">
        <v>1</v>
      </c>
      <c r="D705" s="292">
        <f>D694</f>
        <v>0</v>
      </c>
      <c r="E705" s="292">
        <f>C705*D705</f>
        <v>0</v>
      </c>
      <c r="F705" s="142"/>
      <c r="G705" s="17"/>
      <c r="H705" s="15"/>
      <c r="I705" s="213"/>
      <c r="J705" s="213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1.25" customHeight="1" x14ac:dyDescent="0.25">
      <c r="A706" s="293" t="s">
        <v>279</v>
      </c>
      <c r="B706" s="294" t="s">
        <v>207</v>
      </c>
      <c r="C706" s="299">
        <v>14.75</v>
      </c>
      <c r="D706" s="295"/>
      <c r="E706" s="295"/>
      <c r="F706" s="142"/>
      <c r="G706" s="17"/>
      <c r="H706" s="15"/>
      <c r="I706" s="213"/>
      <c r="J706" s="213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1.25" customHeight="1" x14ac:dyDescent="0.25">
      <c r="A707" s="293" t="s">
        <v>280</v>
      </c>
      <c r="B707" s="294" t="s">
        <v>250</v>
      </c>
      <c r="C707" s="295">
        <f>IFERROR(IF(C696&lt;=C695,E694-(C697/(100*C695)*C696)*E694,E694-E697),0)</f>
        <v>0</v>
      </c>
      <c r="D707" s="295"/>
      <c r="E707" s="295"/>
      <c r="F707" s="142"/>
      <c r="G707" s="17"/>
      <c r="H707" s="15"/>
      <c r="I707" s="213"/>
      <c r="J707" s="213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1.25" customHeight="1" x14ac:dyDescent="0.25">
      <c r="A708" s="293" t="s">
        <v>281</v>
      </c>
      <c r="B708" s="294" t="s">
        <v>250</v>
      </c>
      <c r="C708" s="295">
        <f>IFERROR(IF(C696&gt;=C695,C707,((((C707)-(E694-E697))*(((C695-C696)+1)/(2*(C695-C696))))+(E694-E697))),0)</f>
        <v>0</v>
      </c>
      <c r="D708" s="295"/>
      <c r="E708" s="295"/>
      <c r="F708" s="142"/>
      <c r="G708" s="17"/>
      <c r="H708" s="15"/>
      <c r="I708" s="213"/>
      <c r="J708" s="213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1.25" customHeight="1" x14ac:dyDescent="0.25">
      <c r="A709" s="328" t="s">
        <v>282</v>
      </c>
      <c r="B709" s="329" t="s">
        <v>250</v>
      </c>
      <c r="C709" s="329"/>
      <c r="D709" s="330">
        <f>C706*C708/12/100</f>
        <v>0</v>
      </c>
      <c r="E709" s="330">
        <f>D709</f>
        <v>0</v>
      </c>
      <c r="F709" s="142"/>
      <c r="G709" s="17"/>
      <c r="H709" s="15"/>
      <c r="I709" s="213"/>
      <c r="J709" s="213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1.25" customHeight="1" x14ac:dyDescent="0.25">
      <c r="A710" s="296" t="s">
        <v>275</v>
      </c>
      <c r="B710" s="143"/>
      <c r="C710" s="143"/>
      <c r="D710" s="42"/>
      <c r="E710" s="297">
        <f>E709</f>
        <v>0</v>
      </c>
      <c r="F710" s="142"/>
      <c r="G710" s="17"/>
      <c r="H710" s="15"/>
      <c r="I710" s="213"/>
      <c r="J710" s="213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1.25" customHeight="1" x14ac:dyDescent="0.25">
      <c r="A711" s="181" t="s">
        <v>276</v>
      </c>
      <c r="B711" s="331" t="s">
        <v>255</v>
      </c>
      <c r="C711" s="332">
        <f>C700</f>
        <v>4</v>
      </c>
      <c r="D711" s="303">
        <f>E710</f>
        <v>0</v>
      </c>
      <c r="E711" s="297">
        <f>C711*D711</f>
        <v>0</v>
      </c>
      <c r="F711" s="142"/>
      <c r="G711" s="17"/>
      <c r="H711" s="15"/>
      <c r="I711" s="213"/>
      <c r="J711" s="213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1.25" customHeight="1" x14ac:dyDescent="0.25">
      <c r="A712" s="15"/>
      <c r="B712" s="15"/>
      <c r="C712" s="141"/>
      <c r="D712" s="205" t="s">
        <v>239</v>
      </c>
      <c r="E712" s="300">
        <f>$B$101</f>
        <v>1</v>
      </c>
      <c r="F712" s="327">
        <f>E711*E712</f>
        <v>0</v>
      </c>
      <c r="G712" s="17"/>
      <c r="H712" s="15"/>
      <c r="I712" s="213"/>
      <c r="J712" s="213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1.25" customHeight="1" x14ac:dyDescent="0.25">
      <c r="A713" s="15"/>
      <c r="B713" s="15"/>
      <c r="C713" s="15"/>
      <c r="D713" s="17"/>
      <c r="E713" s="17"/>
      <c r="F713" s="17"/>
      <c r="G713" s="17"/>
      <c r="H713" s="15"/>
      <c r="I713" s="213"/>
      <c r="J713" s="213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1.25" customHeight="1" x14ac:dyDescent="0.25">
      <c r="A714" s="15" t="s">
        <v>386</v>
      </c>
      <c r="B714" s="215"/>
      <c r="C714" s="15"/>
      <c r="D714" s="17"/>
      <c r="E714" s="17"/>
      <c r="F714" s="17"/>
      <c r="G714" s="17"/>
      <c r="H714" s="15"/>
      <c r="I714" s="213"/>
      <c r="J714" s="213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1.25" customHeight="1" x14ac:dyDescent="0.25">
      <c r="A715" s="15"/>
      <c r="B715" s="215"/>
      <c r="C715" s="15"/>
      <c r="D715" s="17"/>
      <c r="E715" s="17"/>
      <c r="F715" s="17"/>
      <c r="G715" s="17"/>
      <c r="H715" s="15"/>
      <c r="I715" s="213"/>
      <c r="J715" s="213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334" t="s">
        <v>290</v>
      </c>
      <c r="B716" s="335">
        <f>'0. Qtdades e Custos'!Y61</f>
        <v>0</v>
      </c>
      <c r="C716" s="15"/>
      <c r="D716" s="17"/>
      <c r="E716" s="17"/>
      <c r="F716" s="17"/>
      <c r="G716" s="17"/>
      <c r="H716" s="15"/>
      <c r="I716" s="213"/>
      <c r="J716" s="213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1.25" customHeight="1" x14ac:dyDescent="0.25">
      <c r="A717" s="15"/>
      <c r="B717" s="215"/>
      <c r="C717" s="15"/>
      <c r="D717" s="17"/>
      <c r="E717" s="17"/>
      <c r="F717" s="17"/>
      <c r="G717" s="17"/>
      <c r="H717" s="15"/>
      <c r="I717" s="213"/>
      <c r="J717" s="213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1.25" customHeight="1" x14ac:dyDescent="0.25">
      <c r="A718" s="284" t="s">
        <v>227</v>
      </c>
      <c r="B718" s="285" t="s">
        <v>98</v>
      </c>
      <c r="C718" s="285" t="s">
        <v>291</v>
      </c>
      <c r="D718" s="286" t="s">
        <v>228</v>
      </c>
      <c r="E718" s="286" t="s">
        <v>229</v>
      </c>
      <c r="F718" s="287" t="s">
        <v>230</v>
      </c>
      <c r="G718" s="17"/>
      <c r="H718" s="15"/>
      <c r="I718" s="213"/>
      <c r="J718" s="213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1.25" customHeight="1" x14ac:dyDescent="0.25">
      <c r="A719" s="293" t="s">
        <v>382</v>
      </c>
      <c r="B719" s="294" t="s">
        <v>293</v>
      </c>
      <c r="C719" s="336">
        <f>B716</f>
        <v>0</v>
      </c>
      <c r="D719" s="337"/>
      <c r="E719" s="292"/>
      <c r="F719" s="17"/>
      <c r="G719" s="17"/>
      <c r="H719" s="15"/>
      <c r="I719" s="213"/>
      <c r="J719" s="213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334" t="s">
        <v>294</v>
      </c>
      <c r="B720" s="294" t="s">
        <v>295</v>
      </c>
      <c r="C720" s="295">
        <f>C719</f>
        <v>0</v>
      </c>
      <c r="D720" s="338"/>
      <c r="E720" s="295">
        <f>C720*D719</f>
        <v>0</v>
      </c>
      <c r="F720" s="17"/>
      <c r="G720" s="17"/>
      <c r="H720" s="15"/>
      <c r="I720" s="213"/>
      <c r="J720" s="213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1.25" customHeight="1" x14ac:dyDescent="0.25">
      <c r="A721" s="15"/>
      <c r="B721" s="15"/>
      <c r="C721" s="15"/>
      <c r="D721" s="17"/>
      <c r="E721" s="17"/>
      <c r="F721" s="327">
        <f>SUM(E719:E720)</f>
        <v>0</v>
      </c>
      <c r="G721" s="17"/>
      <c r="H721" s="15"/>
      <c r="I721" s="213"/>
      <c r="J721" s="213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1.25" customHeight="1" x14ac:dyDescent="0.25">
      <c r="A722" s="15"/>
      <c r="B722" s="15"/>
      <c r="C722" s="15"/>
      <c r="D722" s="17"/>
      <c r="E722" s="17"/>
      <c r="F722" s="17"/>
      <c r="G722" s="17"/>
      <c r="H722" s="15"/>
      <c r="I722" s="213"/>
      <c r="J722" s="213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1.25" customHeight="1" x14ac:dyDescent="0.25">
      <c r="A723" s="15"/>
      <c r="B723" s="15"/>
      <c r="C723" s="15"/>
      <c r="D723" s="17"/>
      <c r="E723" s="17"/>
      <c r="F723" s="17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316" t="s">
        <v>387</v>
      </c>
      <c r="B724" s="317"/>
      <c r="C724" s="317"/>
      <c r="D724" s="257"/>
      <c r="E724" s="318"/>
      <c r="F724" s="327" t="e">
        <f>+SUM(F277:F723)</f>
        <v>#DIV/0!</v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1.25" customHeight="1" x14ac:dyDescent="0.25">
      <c r="A725" s="15"/>
      <c r="B725" s="15"/>
      <c r="C725" s="15"/>
      <c r="D725" s="17"/>
      <c r="E725" s="17"/>
      <c r="F725" s="17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44" t="s">
        <v>388</v>
      </c>
      <c r="B726" s="44"/>
      <c r="C726" s="44"/>
      <c r="D726" s="43"/>
      <c r="E726" s="43"/>
      <c r="F726" s="42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1.25" customHeight="1" x14ac:dyDescent="0.25">
      <c r="A727" s="15"/>
      <c r="B727" s="15"/>
      <c r="C727" s="15"/>
      <c r="D727" s="17"/>
      <c r="E727" s="17"/>
      <c r="F727" s="17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284" t="s">
        <v>227</v>
      </c>
      <c r="B728" s="285" t="s">
        <v>98</v>
      </c>
      <c r="C728" s="285" t="s">
        <v>55</v>
      </c>
      <c r="D728" s="286" t="s">
        <v>228</v>
      </c>
      <c r="E728" s="286" t="s">
        <v>229</v>
      </c>
      <c r="F728" s="287" t="s">
        <v>230</v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293" t="s">
        <v>102</v>
      </c>
      <c r="B729" s="294" t="s">
        <v>255</v>
      </c>
      <c r="C729" s="388">
        <f>'0. Qtdades e Custos'!H83</f>
        <v>22</v>
      </c>
      <c r="D729" s="291">
        <f>VLOOKUP(A729,'0. Qtdades e Custos'!$C$83:$J$86,8,0)</f>
        <v>0</v>
      </c>
      <c r="E729" s="295">
        <f t="shared" ref="E729:E734" si="7">C729*D729</f>
        <v>0</v>
      </c>
      <c r="F729" s="142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293" t="s">
        <v>105</v>
      </c>
      <c r="B730" s="294" t="s">
        <v>255</v>
      </c>
      <c r="C730" s="388">
        <f>'0. Qtdades e Custos'!H84</f>
        <v>22</v>
      </c>
      <c r="D730" s="291">
        <f>VLOOKUP(A730,'0. Qtdades e Custos'!$C$83:$J$86,8,0)</f>
        <v>0</v>
      </c>
      <c r="E730" s="295">
        <f t="shared" si="7"/>
        <v>0</v>
      </c>
      <c r="F730" s="142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293" t="s">
        <v>106</v>
      </c>
      <c r="B731" s="294" t="s">
        <v>255</v>
      </c>
      <c r="C731" s="388">
        <f>'0. Qtdades e Custos'!H85</f>
        <v>22</v>
      </c>
      <c r="D731" s="291">
        <f>VLOOKUP(A731,'0. Qtdades e Custos'!$C$83:$J$86,8,0)</f>
        <v>0</v>
      </c>
      <c r="E731" s="295">
        <f t="shared" si="7"/>
        <v>0</v>
      </c>
      <c r="F731" s="142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314" t="s">
        <v>107</v>
      </c>
      <c r="B732" s="294" t="s">
        <v>255</v>
      </c>
      <c r="C732" s="388">
        <f>'0. Qtdades e Custos'!H86</f>
        <v>3.6666666666666665</v>
      </c>
      <c r="D732" s="291">
        <f>VLOOKUP(A732,'0. Qtdades e Custos'!$C$83:$J$86,8,0)</f>
        <v>0</v>
      </c>
      <c r="E732" s="295">
        <f t="shared" si="7"/>
        <v>0</v>
      </c>
      <c r="F732" s="142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314" t="s">
        <v>147</v>
      </c>
      <c r="B733" s="294" t="s">
        <v>255</v>
      </c>
      <c r="C733" s="388">
        <f>'0. Qtdades e Custos'!P119</f>
        <v>5</v>
      </c>
      <c r="D733" s="291">
        <f>'0. Qtdades e Custos'!E211</f>
        <v>0</v>
      </c>
      <c r="E733" s="295">
        <f t="shared" si="7"/>
        <v>0</v>
      </c>
      <c r="F733" s="142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293" t="s">
        <v>149</v>
      </c>
      <c r="B734" s="294" t="s">
        <v>255</v>
      </c>
      <c r="C734" s="388">
        <f>'0. Qtdades e Custos'!P120</f>
        <v>2.0833333333333335</v>
      </c>
      <c r="D734" s="291">
        <f>'0. Qtdades e Custos'!E212</f>
        <v>0</v>
      </c>
      <c r="E734" s="295">
        <f t="shared" si="7"/>
        <v>0</v>
      </c>
      <c r="F734" s="142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44"/>
      <c r="B735" s="44"/>
      <c r="C735" s="44"/>
      <c r="D735" s="44"/>
      <c r="E735" s="43"/>
      <c r="F735" s="327">
        <f>SUM(E729:E734)</f>
        <v>0</v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1.25" customHeight="1" x14ac:dyDescent="0.25">
      <c r="A736" s="15"/>
      <c r="B736" s="15"/>
      <c r="C736" s="15"/>
      <c r="D736" s="17"/>
      <c r="E736" s="17"/>
      <c r="F736" s="17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316" t="s">
        <v>389</v>
      </c>
      <c r="B737" s="317"/>
      <c r="C737" s="317"/>
      <c r="D737" s="257"/>
      <c r="E737" s="318"/>
      <c r="F737" s="327">
        <f>+F735</f>
        <v>0</v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1.25" customHeight="1" x14ac:dyDescent="0.25">
      <c r="A738" s="15"/>
      <c r="B738" s="15"/>
      <c r="C738" s="15"/>
      <c r="D738" s="17"/>
      <c r="E738" s="17"/>
      <c r="F738" s="17"/>
      <c r="G738" s="17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7.25" customHeight="1" x14ac:dyDescent="0.25">
      <c r="A739" s="316" t="s">
        <v>390</v>
      </c>
      <c r="B739" s="324"/>
      <c r="C739" s="324"/>
      <c r="D739" s="325"/>
      <c r="E739" s="326"/>
      <c r="F739" s="312" t="e">
        <f>+F191+F269+F724+F737</f>
        <v>#DIV/0!</v>
      </c>
      <c r="G739" s="17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1.25" customHeight="1" x14ac:dyDescent="0.25">
      <c r="A740" s="15"/>
      <c r="B740" s="15"/>
      <c r="C740" s="15"/>
      <c r="D740" s="17"/>
      <c r="E740" s="17"/>
      <c r="F740" s="17"/>
      <c r="G740" s="17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44" t="s">
        <v>391</v>
      </c>
      <c r="B741" s="15"/>
      <c r="C741" s="15"/>
      <c r="D741" s="17"/>
      <c r="E741" s="17"/>
      <c r="F741" s="17"/>
      <c r="G741" s="17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1.25" customHeight="1" x14ac:dyDescent="0.25">
      <c r="A742" s="15"/>
      <c r="B742" s="15"/>
      <c r="C742" s="15"/>
      <c r="D742" s="17"/>
      <c r="E742" s="17"/>
      <c r="F742" s="17"/>
      <c r="G742" s="17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284" t="s">
        <v>227</v>
      </c>
      <c r="B743" s="285" t="s">
        <v>98</v>
      </c>
      <c r="C743" s="285" t="s">
        <v>55</v>
      </c>
      <c r="D743" s="286" t="s">
        <v>228</v>
      </c>
      <c r="E743" s="286" t="s">
        <v>229</v>
      </c>
      <c r="F743" s="287" t="s">
        <v>230</v>
      </c>
      <c r="G743" s="17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289" t="s">
        <v>392</v>
      </c>
      <c r="B744" s="290" t="s">
        <v>207</v>
      </c>
      <c r="C744" s="298">
        <f>'8. BDI'!C20*100</f>
        <v>24.84</v>
      </c>
      <c r="D744" s="292" t="e">
        <f>+F739</f>
        <v>#DIV/0!</v>
      </c>
      <c r="E744" s="292" t="e">
        <f>C744*D744/100</f>
        <v>#DIV/0!</v>
      </c>
      <c r="F744" s="17"/>
      <c r="G744" s="17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7"/>
      <c r="E745" s="17"/>
      <c r="F745" s="327" t="e">
        <f>+E744</f>
        <v>#DIV/0!</v>
      </c>
      <c r="G745" s="17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1.25" customHeight="1" x14ac:dyDescent="0.25">
      <c r="A746" s="15"/>
      <c r="B746" s="15"/>
      <c r="C746" s="15"/>
      <c r="D746" s="17"/>
      <c r="E746" s="17"/>
      <c r="F746" s="17"/>
      <c r="G746" s="17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316" t="s">
        <v>393</v>
      </c>
      <c r="B747" s="324"/>
      <c r="C747" s="324"/>
      <c r="D747" s="325"/>
      <c r="E747" s="326"/>
      <c r="F747" s="312" t="e">
        <f>F745</f>
        <v>#DIV/0!</v>
      </c>
      <c r="G747" s="17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44"/>
      <c r="B748" s="44"/>
      <c r="C748" s="44"/>
      <c r="D748" s="43"/>
      <c r="E748" s="43"/>
      <c r="F748" s="42"/>
      <c r="G748" s="17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44" t="s">
        <v>394</v>
      </c>
      <c r="B749" s="44"/>
      <c r="C749" s="44"/>
      <c r="D749" s="43"/>
      <c r="E749" s="43"/>
      <c r="F749" s="42"/>
      <c r="G749" s="17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44"/>
      <c r="B750" s="44"/>
      <c r="C750" s="44"/>
      <c r="D750" s="43"/>
      <c r="E750" s="43"/>
      <c r="F750" s="42"/>
      <c r="G750" s="17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6.4" x14ac:dyDescent="0.25">
      <c r="A751" s="389" t="s">
        <v>395</v>
      </c>
      <c r="B751" s="283">
        <v>0.4</v>
      </c>
      <c r="C751" s="44"/>
      <c r="D751" s="43"/>
      <c r="E751" s="43"/>
      <c r="F751" s="42"/>
      <c r="G751" s="17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390" t="s">
        <v>396</v>
      </c>
      <c r="B752" s="317"/>
      <c r="C752" s="317"/>
      <c r="D752" s="257"/>
      <c r="E752" s="318"/>
      <c r="F752" s="327">
        <f>'5. Equipe Técnica'!F323</f>
        <v>0</v>
      </c>
      <c r="G752" s="17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44"/>
      <c r="B753" s="44"/>
      <c r="C753" s="44"/>
      <c r="D753" s="43"/>
      <c r="E753" s="43"/>
      <c r="F753" s="42"/>
      <c r="G753" s="17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316" t="s">
        <v>397</v>
      </c>
      <c r="B754" s="324"/>
      <c r="C754" s="324"/>
      <c r="D754" s="325"/>
      <c r="E754" s="326"/>
      <c r="F754" s="312">
        <f>B751*F752</f>
        <v>0</v>
      </c>
      <c r="G754" s="17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44"/>
      <c r="B755" s="44"/>
      <c r="C755" s="44"/>
      <c r="D755" s="43"/>
      <c r="E755" s="43"/>
      <c r="F755" s="42"/>
      <c r="G755" s="17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1.25" customHeight="1" x14ac:dyDescent="0.25">
      <c r="A756" s="15"/>
      <c r="B756" s="15"/>
      <c r="C756" s="15"/>
      <c r="D756" s="17"/>
      <c r="E756" s="17"/>
      <c r="F756" s="17"/>
      <c r="G756" s="17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4.75" customHeight="1" x14ac:dyDescent="0.25">
      <c r="A757" s="316" t="s">
        <v>398</v>
      </c>
      <c r="B757" s="324"/>
      <c r="C757" s="324"/>
      <c r="D757" s="325"/>
      <c r="E757" s="326"/>
      <c r="F757" s="312" t="e">
        <f>F739+F747+F754</f>
        <v>#DIV/0!</v>
      </c>
      <c r="G757" s="17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" customHeight="1" x14ac:dyDescent="0.25">
      <c r="A758" s="16"/>
      <c r="B758" s="16"/>
      <c r="C758" s="16"/>
      <c r="D758" s="228"/>
      <c r="E758" s="228"/>
      <c r="F758" s="228"/>
      <c r="G758" s="17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391" t="s">
        <v>399</v>
      </c>
      <c r="B759" s="392"/>
      <c r="C759" s="392"/>
      <c r="D759" s="393">
        <f>'0. Qtdades e Custos'!D5</f>
        <v>900</v>
      </c>
      <c r="E759" s="394" t="s">
        <v>6</v>
      </c>
      <c r="F759" s="17"/>
      <c r="G759" s="17" t="s">
        <v>193</v>
      </c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7"/>
      <c r="E760" s="17"/>
      <c r="F760" s="17"/>
      <c r="G760" s="17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5.5" customHeight="1" x14ac:dyDescent="0.25">
      <c r="A761" s="316" t="s">
        <v>400</v>
      </c>
      <c r="B761" s="317"/>
      <c r="C761" s="317"/>
      <c r="D761" s="257"/>
      <c r="E761" s="395" t="s">
        <v>401</v>
      </c>
      <c r="F761" s="396" t="str">
        <f>IFERROR(F757/D759,"-")</f>
        <v>-</v>
      </c>
      <c r="G761" s="17" t="s">
        <v>193</v>
      </c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" customHeight="1" x14ac:dyDescent="0.25"/>
    <row r="763" spans="1:26" ht="19.5" customHeight="1" x14ac:dyDescent="0.25"/>
    <row r="764" spans="1:26" ht="9.75" customHeight="1" x14ac:dyDescent="0.25"/>
    <row r="765" spans="1:26" ht="9.75" customHeight="1" x14ac:dyDescent="0.25"/>
    <row r="766" spans="1:26" ht="12.75" customHeight="1" x14ac:dyDescent="0.25"/>
    <row r="767" spans="1:26" ht="12.75" customHeight="1" x14ac:dyDescent="0.25"/>
    <row r="768" spans="1:26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9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</sheetData>
  <mergeCells count="21">
    <mergeCell ref="A506:F506"/>
    <mergeCell ref="A94:D94"/>
    <mergeCell ref="A99:D99"/>
    <mergeCell ref="A273:C273"/>
    <mergeCell ref="A350:F350"/>
    <mergeCell ref="A423:F423"/>
    <mergeCell ref="A82:E82"/>
    <mergeCell ref="A83:D83"/>
    <mergeCell ref="A91:D91"/>
    <mergeCell ref="A92:D92"/>
    <mergeCell ref="A93:D93"/>
    <mergeCell ref="A37:D37"/>
    <mergeCell ref="A45:D45"/>
    <mergeCell ref="A61:D61"/>
    <mergeCell ref="A69:D69"/>
    <mergeCell ref="A73:D73"/>
    <mergeCell ref="A11:F11"/>
    <mergeCell ref="A12:F12"/>
    <mergeCell ref="A14:F14"/>
    <mergeCell ref="A25:C25"/>
    <mergeCell ref="A27:D27"/>
  </mergeCells>
  <hyperlinks>
    <hyperlink ref="A28" location="Google_Sheet_Link_1616338293" display="    3.1.1. Depreciação    "/>
    <hyperlink ref="A29" location="Google_Sheet_Link_1604018570" display="    3.1.2. Remuneração do Capital    "/>
    <hyperlink ref="A38" location="Google_Sheet_Link_1395446409" display="    3.2.1. Depreciação    "/>
    <hyperlink ref="A39" location="Google_Sheet_Link_1385402849" display="    3.2.2. Remuneração do Capital    "/>
    <hyperlink ref="A46" location="Google_Sheet_Link_2015704365" display="    3.3.1. Depreciação    "/>
    <hyperlink ref="A47" location="Google_Sheet_Link_1426506448" display="    3.3.2. Remuneração do Capital    "/>
    <hyperlink ref="A54" location="Google_Sheet_Link_1701136735" display="    3.4.1. Depreciação    "/>
    <hyperlink ref="A55" location="Google_Sheet_Link_1418664634" display="    3.4.2. Remuneração do Capital    "/>
    <hyperlink ref="A275" location="Google_Sheet_Link_1616338293" display="3.1.1. Depreciação"/>
    <hyperlink ref="A286" location="Google_Sheet_Link_1604018570" display="3.1.2. Remuneração do Capital"/>
    <hyperlink ref="A352" location="Google_Sheet_Link_1395446409" display="3.2.1. Depreciação"/>
    <hyperlink ref="A363" location="Google_Sheet_Link_1385402849" display="3.2.2. Remuneração do Capital"/>
    <hyperlink ref="A425" location="Google_Sheet_Link_2015704365" display="3.3.1. Depreciação"/>
    <hyperlink ref="A441" location="Google_Sheet_Link_1426506448" display="3.3.2. Remuneração do Capital"/>
    <hyperlink ref="A508" location="Google_Sheet_Link_1701136735" display="3.4.1. Depreciação"/>
    <hyperlink ref="A524" location="Google_Sheet_Link_1418664634" display="3.4.2. Remuneração do Capital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opLeftCell="A223" zoomScaleNormal="100" workbookViewId="0">
      <selection activeCell="F257" sqref="F257"/>
    </sheetView>
  </sheetViews>
  <sheetFormatPr defaultRowHeight="13.2" x14ac:dyDescent="0.25"/>
  <cols>
    <col min="1" max="1" width="44.6640625" customWidth="1"/>
    <col min="2" max="2" width="16" customWidth="1"/>
    <col min="3" max="3" width="11.88671875" customWidth="1"/>
    <col min="4" max="4" width="14.77734375" customWidth="1"/>
    <col min="5" max="5" width="15.33203125" customWidth="1"/>
    <col min="6" max="6" width="13.21875" customWidth="1"/>
    <col min="7" max="7" width="28.109375" customWidth="1"/>
    <col min="8" max="8" width="9.109375" customWidth="1"/>
    <col min="9" max="9" width="14.6640625" customWidth="1"/>
    <col min="10" max="10" width="13.33203125" customWidth="1"/>
    <col min="11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16" t="s">
        <v>194</v>
      </c>
      <c r="B1" s="15"/>
      <c r="C1" s="15"/>
      <c r="D1" s="17"/>
      <c r="E1" s="17"/>
      <c r="F1" s="17"/>
      <c r="G1" s="1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8" t="s">
        <v>195</v>
      </c>
      <c r="B2" s="15"/>
      <c r="C2" s="15"/>
      <c r="D2" s="17"/>
      <c r="E2" s="17"/>
      <c r="F2" s="17"/>
      <c r="G2" s="1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8" t="s">
        <v>196</v>
      </c>
      <c r="B3" s="15"/>
      <c r="C3" s="15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8" t="s">
        <v>197</v>
      </c>
      <c r="B4" s="15"/>
      <c r="C4" s="15"/>
      <c r="D4" s="17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 x14ac:dyDescent="0.25">
      <c r="A5" s="37" t="s">
        <v>198</v>
      </c>
      <c r="B5" s="15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231" t="s">
        <v>199</v>
      </c>
      <c r="B6" s="222"/>
      <c r="C6" s="222"/>
      <c r="D6" s="222"/>
      <c r="E6" s="222"/>
      <c r="F6" s="222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15"/>
      <c r="B7" s="222"/>
      <c r="C7" s="222"/>
      <c r="D7" s="222"/>
      <c r="E7" s="222"/>
      <c r="F7" s="222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18" t="s">
        <v>200</v>
      </c>
      <c r="B8" s="222"/>
      <c r="C8" s="222"/>
      <c r="D8" s="222"/>
      <c r="E8" s="222"/>
      <c r="F8" s="22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18" t="s">
        <v>201</v>
      </c>
      <c r="B9" s="222"/>
      <c r="C9" s="222"/>
      <c r="D9" s="222"/>
      <c r="E9" s="222"/>
      <c r="F9" s="222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5" customHeight="1" x14ac:dyDescent="0.25">
      <c r="A10" s="15"/>
      <c r="B10" s="222"/>
      <c r="C10" s="222"/>
      <c r="D10" s="17"/>
      <c r="E10" s="17"/>
      <c r="F10" s="17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 x14ac:dyDescent="0.25">
      <c r="A11" s="593" t="s">
        <v>402</v>
      </c>
      <c r="B11" s="593"/>
      <c r="C11" s="593"/>
      <c r="D11" s="593"/>
      <c r="E11" s="593"/>
      <c r="F11" s="593"/>
      <c r="G11" s="22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.75" customHeight="1" x14ac:dyDescent="0.25">
      <c r="A12" s="594" t="s">
        <v>203</v>
      </c>
      <c r="B12" s="594"/>
      <c r="C12" s="594"/>
      <c r="D12" s="594"/>
      <c r="E12" s="594"/>
      <c r="F12" s="594"/>
      <c r="G12" s="22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0.5" customHeight="1" x14ac:dyDescent="0.25">
      <c r="A13" s="232"/>
      <c r="B13" s="222"/>
      <c r="C13" s="222"/>
      <c r="D13" s="17"/>
      <c r="E13" s="17"/>
      <c r="F13" s="233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5">
      <c r="A14" s="595" t="s">
        <v>204</v>
      </c>
      <c r="B14" s="595"/>
      <c r="C14" s="595"/>
      <c r="D14" s="595"/>
      <c r="E14" s="595"/>
      <c r="F14" s="595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34" t="s">
        <v>205</v>
      </c>
      <c r="B15" s="235"/>
      <c r="C15" s="235"/>
      <c r="D15" s="236"/>
      <c r="E15" s="237" t="s">
        <v>206</v>
      </c>
      <c r="F15" s="238" t="s">
        <v>207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5">
      <c r="A16" s="239" t="str">
        <f>A53</f>
        <v>1. Mão-de-obra</v>
      </c>
      <c r="B16" s="240"/>
      <c r="C16" s="240"/>
      <c r="D16" s="240"/>
      <c r="E16" s="241">
        <f>+F116</f>
        <v>0</v>
      </c>
      <c r="F16" s="242">
        <f t="shared" ref="F16:F36" si="0">IFERROR(E16/$E$37,0)</f>
        <v>0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25">
      <c r="A17" s="243" t="str">
        <f>A55</f>
        <v>1.1. Operários/Agentes de Limpeza</v>
      </c>
      <c r="B17" s="244"/>
      <c r="C17" s="244"/>
      <c r="D17" s="244"/>
      <c r="E17" s="245">
        <f>F65</f>
        <v>0</v>
      </c>
      <c r="F17" s="246">
        <f t="shared" si="0"/>
        <v>0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5">
      <c r="A18" s="243" t="str">
        <f>A67</f>
        <v>1.2. Encarregado de Equipe</v>
      </c>
      <c r="B18" s="244"/>
      <c r="C18" s="244"/>
      <c r="D18" s="244"/>
      <c r="E18" s="245">
        <f>F77</f>
        <v>0</v>
      </c>
      <c r="F18" s="246">
        <f t="shared" si="0"/>
        <v>0</v>
      </c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5">
      <c r="A19" s="243" t="str">
        <f>A79</f>
        <v>1.3. Motorista Caminhão</v>
      </c>
      <c r="B19" s="244"/>
      <c r="C19" s="244"/>
      <c r="D19" s="244"/>
      <c r="E19" s="245">
        <f>F91</f>
        <v>0</v>
      </c>
      <c r="F19" s="246">
        <f t="shared" si="0"/>
        <v>0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243" t="str">
        <f>A93</f>
        <v>1.4. Vale Transporte</v>
      </c>
      <c r="B20" s="244"/>
      <c r="C20" s="244"/>
      <c r="D20" s="244"/>
      <c r="E20" s="245">
        <f>F100</f>
        <v>0</v>
      </c>
      <c r="F20" s="246">
        <f t="shared" si="0"/>
        <v>0</v>
      </c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243" t="str">
        <f>A102</f>
        <v>1.5. Vale-refeição (diário)</v>
      </c>
      <c r="B21" s="244"/>
      <c r="C21" s="244"/>
      <c r="D21" s="244"/>
      <c r="E21" s="245">
        <f>F107</f>
        <v>0</v>
      </c>
      <c r="F21" s="246">
        <f t="shared" si="0"/>
        <v>0</v>
      </c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243" t="str">
        <f>A109</f>
        <v>1.6. Auxílio Alimentação (mensal)</v>
      </c>
      <c r="B22" s="244"/>
      <c r="C22" s="244"/>
      <c r="D22" s="244"/>
      <c r="E22" s="245">
        <f>F114</f>
        <v>0</v>
      </c>
      <c r="F22" s="246">
        <f t="shared" si="0"/>
        <v>0</v>
      </c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596" t="str">
        <f>A118</f>
        <v>2. Uniformes e Equipamentos de Proteção Individual</v>
      </c>
      <c r="B23" s="596"/>
      <c r="C23" s="596"/>
      <c r="D23" s="240"/>
      <c r="E23" s="241">
        <f>+F166</f>
        <v>0</v>
      </c>
      <c r="F23" s="242">
        <f t="shared" si="0"/>
        <v>0</v>
      </c>
      <c r="G23" s="4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.75" customHeight="1" x14ac:dyDescent="0.25">
      <c r="A24" s="247" t="str">
        <f>A168</f>
        <v>3. Veículos e Equipamentos</v>
      </c>
      <c r="B24" s="248"/>
      <c r="C24" s="240"/>
      <c r="D24" s="240"/>
      <c r="E24" s="241" t="e">
        <f>+F256</f>
        <v>#DIV/0!</v>
      </c>
      <c r="F24" s="242">
        <f t="shared" si="0"/>
        <v>0</v>
      </c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32.25" customHeight="1" x14ac:dyDescent="0.25">
      <c r="A25" s="597" t="str">
        <f>A48</f>
        <v>3.1. Caminhão toco, carga útil 9480 kg, potência mínima 185 CV, com carroceria fixa, aberta, de madeira, para transporte geral de carga seca, com dimensões aproximadas de 2,50 x 6,50 x 0,50 m.</v>
      </c>
      <c r="B25" s="597"/>
      <c r="C25" s="597"/>
      <c r="D25" s="597"/>
      <c r="E25" s="245">
        <f>SUM(E26:E31)</f>
        <v>0</v>
      </c>
      <c r="F25" s="246">
        <f t="shared" si="0"/>
        <v>0</v>
      </c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249" t="s">
        <v>208</v>
      </c>
      <c r="B26" s="250"/>
      <c r="C26" s="244"/>
      <c r="D26" s="244"/>
      <c r="E26" s="245">
        <f>F186</f>
        <v>0</v>
      </c>
      <c r="F26" s="246">
        <f t="shared" si="0"/>
        <v>0</v>
      </c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249" t="s">
        <v>209</v>
      </c>
      <c r="B27" s="250"/>
      <c r="C27" s="244"/>
      <c r="D27" s="244"/>
      <c r="E27" s="245">
        <f>F202</f>
        <v>0</v>
      </c>
      <c r="F27" s="246">
        <f t="shared" si="0"/>
        <v>0</v>
      </c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251" t="str">
        <f>A204</f>
        <v>3.1.3. Impostos e Seguros - Caminhão</v>
      </c>
      <c r="B28" s="250"/>
      <c r="C28" s="244"/>
      <c r="D28" s="244"/>
      <c r="E28" s="245">
        <f>F210</f>
        <v>0</v>
      </c>
      <c r="F28" s="246">
        <f t="shared" si="0"/>
        <v>0</v>
      </c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251" t="str">
        <f>A212</f>
        <v>3.1.4. Consumos</v>
      </c>
      <c r="B29" s="250"/>
      <c r="C29" s="244"/>
      <c r="D29" s="244"/>
      <c r="E29" s="245">
        <f>F220</f>
        <v>0</v>
      </c>
      <c r="F29" s="246">
        <f t="shared" si="0"/>
        <v>0</v>
      </c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251" t="str">
        <f>A222</f>
        <v>3.1.5. Manutenção</v>
      </c>
      <c r="B30" s="250"/>
      <c r="C30" s="244"/>
      <c r="D30" s="244"/>
      <c r="E30" s="245">
        <f>F225</f>
        <v>0</v>
      </c>
      <c r="F30" s="246">
        <f t="shared" si="0"/>
        <v>0</v>
      </c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251" t="str">
        <f>A227</f>
        <v>3.1.6. Pneus</v>
      </c>
      <c r="B31" s="250"/>
      <c r="C31" s="244"/>
      <c r="D31" s="244"/>
      <c r="E31" s="245">
        <f>F234</f>
        <v>0</v>
      </c>
      <c r="F31" s="246">
        <f t="shared" si="0"/>
        <v>0</v>
      </c>
      <c r="G31" s="1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251" t="str">
        <f>A236</f>
        <v>3.1.7. Locação de Banheiro Químico</v>
      </c>
      <c r="B32" s="250"/>
      <c r="C32" s="244"/>
      <c r="D32" s="244"/>
      <c r="E32" s="245">
        <f>F238</f>
        <v>0</v>
      </c>
      <c r="F32" s="246">
        <f t="shared" si="0"/>
        <v>0</v>
      </c>
      <c r="G32" s="1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251" t="str">
        <f>A241</f>
        <v>3.1.8. Destinação Final dos Resíduos</v>
      </c>
      <c r="B33" s="250"/>
      <c r="C33" s="244"/>
      <c r="D33" s="244"/>
      <c r="E33" s="245" t="e">
        <f>F243</f>
        <v>#DIV/0!</v>
      </c>
      <c r="F33" s="246">
        <f t="shared" si="0"/>
        <v>0</v>
      </c>
      <c r="G33" s="1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251" t="str">
        <f>A245</f>
        <v>3.1.9. Monitoramento da Frota</v>
      </c>
      <c r="B34" s="248"/>
      <c r="C34" s="240"/>
      <c r="D34" s="240"/>
      <c r="E34" s="245">
        <f>F253</f>
        <v>0</v>
      </c>
      <c r="F34" s="246">
        <f t="shared" si="0"/>
        <v>0</v>
      </c>
      <c r="G34" s="4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25">
      <c r="A35" s="247" t="str">
        <f>A258</f>
        <v>4. Ferramentas, Materiais de Consumo e EPC</v>
      </c>
      <c r="B35" s="248"/>
      <c r="C35" s="240"/>
      <c r="D35" s="240"/>
      <c r="E35" s="241">
        <f>+F267</f>
        <v>0</v>
      </c>
      <c r="F35" s="242">
        <f t="shared" si="0"/>
        <v>0</v>
      </c>
      <c r="G35" s="4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 x14ac:dyDescent="0.25">
      <c r="A36" s="247" t="str">
        <f>A271</f>
        <v>5. Benefícios e Despesas Indiretas - BDI</v>
      </c>
      <c r="B36" s="248"/>
      <c r="C36" s="240"/>
      <c r="D36" s="240"/>
      <c r="E36" s="254" t="e">
        <f>+F277</f>
        <v>#VALUE!</v>
      </c>
      <c r="F36" s="242">
        <f t="shared" si="0"/>
        <v>0</v>
      </c>
      <c r="G36" s="4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 x14ac:dyDescent="0.25">
      <c r="A37" s="255" t="s">
        <v>218</v>
      </c>
      <c r="B37" s="256"/>
      <c r="C37" s="257"/>
      <c r="D37" s="257"/>
      <c r="E37" s="258" t="e">
        <f>E16+E23+E24+E35+E36</f>
        <v>#DIV/0!</v>
      </c>
      <c r="F37" s="259">
        <f>F16+F23+F24+F35+F36</f>
        <v>0</v>
      </c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5">
      <c r="A38" s="15"/>
      <c r="B38" s="15"/>
      <c r="C38" s="15"/>
      <c r="D38" s="17"/>
      <c r="E38" s="17"/>
      <c r="F38" s="17"/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5">
      <c r="A39" s="15"/>
      <c r="B39" s="15"/>
      <c r="C39" s="15"/>
      <c r="D39" s="17"/>
      <c r="E39" s="17"/>
      <c r="F39" s="17"/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" customHeight="1" x14ac:dyDescent="0.25">
      <c r="A40" s="595" t="s">
        <v>219</v>
      </c>
      <c r="B40" s="595"/>
      <c r="C40" s="595"/>
      <c r="D40" s="595"/>
      <c r="E40" s="595"/>
      <c r="F40" s="17"/>
      <c r="G40" s="1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" customHeight="1" x14ac:dyDescent="0.25">
      <c r="A41" s="598" t="s">
        <v>220</v>
      </c>
      <c r="B41" s="598"/>
      <c r="C41" s="598"/>
      <c r="D41" s="598"/>
      <c r="E41" s="260" t="s">
        <v>55</v>
      </c>
      <c r="F41" s="17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" customHeight="1" x14ac:dyDescent="0.25">
      <c r="A42" s="261" t="str">
        <f>+A55</f>
        <v>1.1. Operários/Agentes de Limpeza</v>
      </c>
      <c r="B42" s="235"/>
      <c r="C42" s="235"/>
      <c r="D42" s="262"/>
      <c r="E42" s="263">
        <f>C64</f>
        <v>60</v>
      </c>
      <c r="F42" s="17"/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" customHeight="1" x14ac:dyDescent="0.25">
      <c r="A43" s="264" t="str">
        <f>A67</f>
        <v>1.2. Encarregado de Equipe</v>
      </c>
      <c r="B43" s="265"/>
      <c r="C43" s="265"/>
      <c r="D43" s="266"/>
      <c r="E43" s="267">
        <f>C76</f>
        <v>1</v>
      </c>
      <c r="F43" s="17"/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 x14ac:dyDescent="0.25">
      <c r="A44" s="264" t="str">
        <f>A79</f>
        <v>1.3. Motorista Caminhão</v>
      </c>
      <c r="B44" s="265"/>
      <c r="C44" s="265"/>
      <c r="D44" s="266"/>
      <c r="E44" s="267">
        <f>C90</f>
        <v>2</v>
      </c>
      <c r="F44" s="17"/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268" t="s">
        <v>221</v>
      </c>
      <c r="B45" s="269"/>
      <c r="C45" s="269"/>
      <c r="D45" s="270"/>
      <c r="E45" s="271">
        <f>SUM(E42:E44)</f>
        <v>63</v>
      </c>
      <c r="F45" s="17"/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" customHeight="1" x14ac:dyDescent="0.25">
      <c r="A46" s="272"/>
      <c r="B46" s="121"/>
      <c r="C46" s="17"/>
      <c r="D46" s="17"/>
      <c r="E46" s="17"/>
      <c r="F46" s="17"/>
      <c r="G46" s="1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" customHeight="1" x14ac:dyDescent="0.25">
      <c r="A47" s="599" t="s">
        <v>222</v>
      </c>
      <c r="B47" s="599"/>
      <c r="C47" s="599"/>
      <c r="D47" s="599"/>
      <c r="E47" s="260" t="s">
        <v>55</v>
      </c>
      <c r="F47" s="15"/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44.25" customHeight="1" x14ac:dyDescent="0.25">
      <c r="A48" s="597" t="str">
        <f>A170</f>
        <v>3.1. Caminhão toco, carga útil 9480 kg, potência mínima 185 CV, com carroceria fixa, aberta, de madeira, para transporte geral de carga seca, com dimensões aproximadas de 2,50 x 6,50 x 0,50 m.</v>
      </c>
      <c r="B48" s="597"/>
      <c r="C48" s="597"/>
      <c r="D48" s="597"/>
      <c r="E48" s="273">
        <f>C185</f>
        <v>2</v>
      </c>
      <c r="F48" s="15"/>
      <c r="G48" s="1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" customHeight="1" x14ac:dyDescent="0.25">
      <c r="A49" s="600" t="s">
        <v>223</v>
      </c>
      <c r="B49" s="600"/>
      <c r="C49" s="600"/>
      <c r="D49" s="600"/>
      <c r="E49" s="281">
        <f>SUM(E48)</f>
        <v>2</v>
      </c>
      <c r="F49" s="15"/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" customHeight="1" x14ac:dyDescent="0.25">
      <c r="A50" s="17"/>
      <c r="B50" s="17"/>
      <c r="C50" s="17"/>
      <c r="D50" s="15"/>
      <c r="E50" s="120"/>
      <c r="F50" s="15"/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282" t="s">
        <v>224</v>
      </c>
      <c r="B51" s="283">
        <v>1</v>
      </c>
      <c r="C51" s="43"/>
      <c r="D51" s="44"/>
      <c r="E51" s="217"/>
      <c r="F51" s="44"/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5">
      <c r="A52" s="17"/>
      <c r="B52" s="17"/>
      <c r="C52" s="17"/>
      <c r="D52" s="15"/>
      <c r="E52" s="158"/>
      <c r="F52" s="15"/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44" t="s">
        <v>225</v>
      </c>
      <c r="B53" s="15"/>
      <c r="C53" s="15"/>
      <c r="D53" s="17"/>
      <c r="E53" s="17"/>
      <c r="F53" s="17"/>
      <c r="G53" s="1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1.25" customHeight="1" x14ac:dyDescent="0.25">
      <c r="A54" s="15"/>
      <c r="B54" s="15"/>
      <c r="C54" s="15"/>
      <c r="D54" s="17"/>
      <c r="E54" s="17"/>
      <c r="F54" s="17"/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3.5" customHeight="1" x14ac:dyDescent="0.25">
      <c r="A55" s="15" t="s">
        <v>226</v>
      </c>
      <c r="B55" s="15"/>
      <c r="C55" s="15"/>
      <c r="D55" s="17"/>
      <c r="E55" s="17"/>
      <c r="F55" s="17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5" customHeight="1" x14ac:dyDescent="0.25">
      <c r="A56" s="284" t="s">
        <v>227</v>
      </c>
      <c r="B56" s="285" t="s">
        <v>98</v>
      </c>
      <c r="C56" s="285" t="s">
        <v>55</v>
      </c>
      <c r="D56" s="286" t="s">
        <v>228</v>
      </c>
      <c r="E56" s="286" t="s">
        <v>229</v>
      </c>
      <c r="F56" s="287" t="s">
        <v>230</v>
      </c>
      <c r="G56" s="288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289" t="s">
        <v>231</v>
      </c>
      <c r="B57" s="290" t="s">
        <v>232</v>
      </c>
      <c r="C57" s="290">
        <v>1</v>
      </c>
      <c r="D57" s="291"/>
      <c r="E57" s="292">
        <f>C57*D57</f>
        <v>0</v>
      </c>
      <c r="F57" s="17"/>
      <c r="G57" s="1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293" t="s">
        <v>403</v>
      </c>
      <c r="B58" s="294" t="s">
        <v>404</v>
      </c>
      <c r="C58" s="388">
        <f>(7+20/60)*(10/12)</f>
        <v>6.1111111111111107</v>
      </c>
      <c r="D58" s="295">
        <f>D57/220*2</f>
        <v>0</v>
      </c>
      <c r="E58" s="295">
        <f>C58*D58</f>
        <v>0</v>
      </c>
      <c r="F58" s="17"/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293" t="s">
        <v>405</v>
      </c>
      <c r="B59" s="294" t="s">
        <v>250</v>
      </c>
      <c r="C59" s="15"/>
      <c r="D59" s="295">
        <f>63/302*(SUM(E58))</f>
        <v>0</v>
      </c>
      <c r="E59" s="295">
        <f>D59</f>
        <v>0</v>
      </c>
      <c r="F59" s="17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293" t="s">
        <v>233</v>
      </c>
      <c r="B60" s="294" t="s">
        <v>207</v>
      </c>
      <c r="C60" s="294">
        <v>40</v>
      </c>
      <c r="D60" s="295">
        <f>SUM(E57:E59)</f>
        <v>0</v>
      </c>
      <c r="E60" s="295">
        <f>C60*D60/100</f>
        <v>0</v>
      </c>
      <c r="F60" s="17"/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5">
      <c r="A61" s="296" t="s">
        <v>234</v>
      </c>
      <c r="B61" s="143"/>
      <c r="C61" s="143"/>
      <c r="D61" s="42"/>
      <c r="E61" s="297">
        <f>SUM(E57:E60)</f>
        <v>0</v>
      </c>
      <c r="F61" s="17"/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293" t="s">
        <v>235</v>
      </c>
      <c r="B62" s="294" t="s">
        <v>207</v>
      </c>
      <c r="C62" s="298">
        <f>'6. Encargos Sociais'!$C$37*100</f>
        <v>71.22548900000001</v>
      </c>
      <c r="D62" s="295">
        <f>E61</f>
        <v>0</v>
      </c>
      <c r="E62" s="295">
        <f>D62*C62/100</f>
        <v>0</v>
      </c>
      <c r="F62" s="17"/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296" t="s">
        <v>236</v>
      </c>
      <c r="B63" s="143"/>
      <c r="C63" s="143"/>
      <c r="D63" s="42"/>
      <c r="E63" s="297">
        <f>E61+E62</f>
        <v>0</v>
      </c>
      <c r="F63" s="17"/>
      <c r="G63" s="1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293" t="s">
        <v>237</v>
      </c>
      <c r="B64" s="294" t="s">
        <v>238</v>
      </c>
      <c r="C64" s="299">
        <f>'0. Qtdades e Custos'!D19</f>
        <v>60</v>
      </c>
      <c r="D64" s="295">
        <f>E63</f>
        <v>0</v>
      </c>
      <c r="E64" s="295">
        <f>C64*D64</f>
        <v>0</v>
      </c>
      <c r="F64" s="17"/>
      <c r="G64" s="1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3.5" customHeight="1" x14ac:dyDescent="0.25">
      <c r="A65" s="15"/>
      <c r="B65" s="15"/>
      <c r="C65" s="15"/>
      <c r="D65" s="205" t="s">
        <v>239</v>
      </c>
      <c r="E65" s="300">
        <f>$B$51</f>
        <v>1</v>
      </c>
      <c r="F65" s="301">
        <f>E64*E65</f>
        <v>0</v>
      </c>
      <c r="G65" s="1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1.25" customHeight="1" x14ac:dyDescent="0.25">
      <c r="A66" s="15"/>
      <c r="B66" s="15"/>
      <c r="C66" s="15"/>
      <c r="D66" s="17"/>
      <c r="E66" s="17"/>
      <c r="F66" s="17"/>
      <c r="G66" s="1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1.25" customHeight="1" x14ac:dyDescent="0.25">
      <c r="A67" s="15" t="s">
        <v>240</v>
      </c>
      <c r="B67" s="15"/>
      <c r="C67" s="15"/>
      <c r="D67" s="17"/>
      <c r="E67" s="17"/>
      <c r="F67" s="17"/>
      <c r="G67" s="1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1.25" customHeight="1" x14ac:dyDescent="0.25">
      <c r="A68" s="284" t="s">
        <v>227</v>
      </c>
      <c r="B68" s="285" t="s">
        <v>98</v>
      </c>
      <c r="C68" s="285" t="s">
        <v>55</v>
      </c>
      <c r="D68" s="286" t="s">
        <v>228</v>
      </c>
      <c r="E68" s="286" t="s">
        <v>229</v>
      </c>
      <c r="F68" s="287" t="s">
        <v>230</v>
      </c>
      <c r="G68" s="288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1.25" customHeight="1" x14ac:dyDescent="0.25">
      <c r="A69" s="289" t="s">
        <v>231</v>
      </c>
      <c r="B69" s="290" t="s">
        <v>232</v>
      </c>
      <c r="C69" s="290">
        <v>1</v>
      </c>
      <c r="D69" s="291"/>
      <c r="E69" s="292">
        <f>C69*D69</f>
        <v>0</v>
      </c>
      <c r="F69" s="17"/>
      <c r="G69" s="1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1.25" customHeight="1" x14ac:dyDescent="0.25">
      <c r="A70" s="293" t="s">
        <v>403</v>
      </c>
      <c r="B70" s="294" t="s">
        <v>404</v>
      </c>
      <c r="C70" s="388">
        <f>C58</f>
        <v>6.1111111111111107</v>
      </c>
      <c r="D70" s="295">
        <f>D69/220*2</f>
        <v>0</v>
      </c>
      <c r="E70" s="295">
        <f>C70*D70</f>
        <v>0</v>
      </c>
      <c r="F70" s="17"/>
      <c r="G70" s="1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1.25" customHeight="1" x14ac:dyDescent="0.25">
      <c r="A71" s="293" t="s">
        <v>405</v>
      </c>
      <c r="B71" s="294" t="s">
        <v>250</v>
      </c>
      <c r="C71" s="15"/>
      <c r="D71" s="295">
        <f>63/302*(SUM(E70))</f>
        <v>0</v>
      </c>
      <c r="E71" s="295">
        <f>D71</f>
        <v>0</v>
      </c>
      <c r="F71" s="17"/>
      <c r="G71" s="1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1.25" customHeight="1" x14ac:dyDescent="0.25">
      <c r="A72" s="293" t="s">
        <v>233</v>
      </c>
      <c r="B72" s="294" t="s">
        <v>207</v>
      </c>
      <c r="C72" s="294">
        <v>40</v>
      </c>
      <c r="D72" s="295">
        <f>SUM(E69:E71)</f>
        <v>0</v>
      </c>
      <c r="E72" s="295">
        <f>C72*D72/100</f>
        <v>0</v>
      </c>
      <c r="F72" s="17"/>
      <c r="G72" s="1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1.25" customHeight="1" x14ac:dyDescent="0.25">
      <c r="A73" s="296" t="s">
        <v>234</v>
      </c>
      <c r="B73" s="143"/>
      <c r="C73" s="143"/>
      <c r="D73" s="42"/>
      <c r="E73" s="297">
        <f>SUM(E69:E72)</f>
        <v>0</v>
      </c>
      <c r="F73" s="17"/>
      <c r="G73" s="1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1.25" customHeight="1" x14ac:dyDescent="0.25">
      <c r="A74" s="293" t="s">
        <v>235</v>
      </c>
      <c r="B74" s="294" t="s">
        <v>207</v>
      </c>
      <c r="C74" s="298">
        <f>'6. Encargos Sociais'!$C$37*100</f>
        <v>71.22548900000001</v>
      </c>
      <c r="D74" s="295">
        <f>E73</f>
        <v>0</v>
      </c>
      <c r="E74" s="295">
        <f>D74*C74/100</f>
        <v>0</v>
      </c>
      <c r="F74" s="17"/>
      <c r="G74" s="1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1.25" customHeight="1" x14ac:dyDescent="0.25">
      <c r="A75" s="296" t="s">
        <v>236</v>
      </c>
      <c r="B75" s="143"/>
      <c r="C75" s="143"/>
      <c r="D75" s="42"/>
      <c r="E75" s="297">
        <f>E73+E74</f>
        <v>0</v>
      </c>
      <c r="F75" s="17"/>
      <c r="G75" s="1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1.25" customHeight="1" x14ac:dyDescent="0.25">
      <c r="A76" s="293" t="s">
        <v>237</v>
      </c>
      <c r="B76" s="294" t="s">
        <v>238</v>
      </c>
      <c r="C76" s="299">
        <f>'0. Qtdades e Custos'!D20</f>
        <v>1</v>
      </c>
      <c r="D76" s="295">
        <f>E75</f>
        <v>0</v>
      </c>
      <c r="E76" s="295">
        <f>C76*D76</f>
        <v>0</v>
      </c>
      <c r="F76" s="17"/>
      <c r="G76" s="1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1.25" customHeight="1" x14ac:dyDescent="0.25">
      <c r="A77" s="15"/>
      <c r="B77" s="15"/>
      <c r="C77" s="15"/>
      <c r="D77" s="205" t="s">
        <v>239</v>
      </c>
      <c r="E77" s="300">
        <f>$B$51</f>
        <v>1</v>
      </c>
      <c r="F77" s="301">
        <f>E76*E77</f>
        <v>0</v>
      </c>
      <c r="G77" s="17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1.25" customHeight="1" x14ac:dyDescent="0.25">
      <c r="A78" s="15"/>
      <c r="B78" s="15"/>
      <c r="C78" s="15"/>
      <c r="D78" s="17"/>
      <c r="E78" s="17"/>
      <c r="F78" s="17"/>
      <c r="G78" s="1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15" t="s">
        <v>241</v>
      </c>
      <c r="B79" s="15"/>
      <c r="C79" s="15"/>
      <c r="D79" s="17"/>
      <c r="E79" s="17"/>
      <c r="F79" s="17"/>
      <c r="G79" s="1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284" t="s">
        <v>227</v>
      </c>
      <c r="B80" s="285" t="s">
        <v>98</v>
      </c>
      <c r="C80" s="285" t="s">
        <v>55</v>
      </c>
      <c r="D80" s="286" t="s">
        <v>228</v>
      </c>
      <c r="E80" s="286" t="s">
        <v>229</v>
      </c>
      <c r="F80" s="287" t="s">
        <v>230</v>
      </c>
      <c r="G80" s="288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2.75" customHeight="1" x14ac:dyDescent="0.25">
      <c r="A81" s="289" t="s">
        <v>242</v>
      </c>
      <c r="B81" s="290" t="s">
        <v>232</v>
      </c>
      <c r="C81" s="290">
        <v>1</v>
      </c>
      <c r="D81" s="291"/>
      <c r="E81" s="292">
        <f>C81*D81</f>
        <v>0</v>
      </c>
      <c r="F81" s="17"/>
      <c r="G81" s="1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289" t="s">
        <v>243</v>
      </c>
      <c r="B82" s="290" t="s">
        <v>232</v>
      </c>
      <c r="C82" s="294">
        <v>1</v>
      </c>
      <c r="D82" s="291">
        <v>1518</v>
      </c>
      <c r="E82" s="292"/>
      <c r="F82" s="17"/>
      <c r="G82" s="1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293" t="s">
        <v>403</v>
      </c>
      <c r="B83" s="294" t="s">
        <v>404</v>
      </c>
      <c r="C83" s="388">
        <f>C58</f>
        <v>6.1111111111111107</v>
      </c>
      <c r="D83" s="295">
        <f>D81/220*2</f>
        <v>0</v>
      </c>
      <c r="E83" s="295">
        <f>C83*D83</f>
        <v>0</v>
      </c>
      <c r="F83" s="17"/>
      <c r="G83" s="17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293" t="s">
        <v>405</v>
      </c>
      <c r="B84" s="294" t="s">
        <v>250</v>
      </c>
      <c r="C84" s="15"/>
      <c r="D84" s="295">
        <f>63/302*(SUM(E83))</f>
        <v>0</v>
      </c>
      <c r="E84" s="295">
        <f>D84</f>
        <v>0</v>
      </c>
      <c r="F84" s="17"/>
      <c r="G84" s="1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293" t="s">
        <v>244</v>
      </c>
      <c r="B85" s="294"/>
      <c r="C85" s="302"/>
      <c r="D85" s="295"/>
      <c r="E85" s="295"/>
      <c r="F85" s="17"/>
      <c r="G85" s="1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293" t="s">
        <v>233</v>
      </c>
      <c r="B86" s="294" t="s">
        <v>207</v>
      </c>
      <c r="C86" s="299">
        <v>0</v>
      </c>
      <c r="D86" s="295">
        <f>IF(C85=2,SUM(E81:E84),IF(C85=1,(SUM(E81:E82))*D82/D81,0))</f>
        <v>0</v>
      </c>
      <c r="E86" s="295">
        <f>C86*D86/100</f>
        <v>0</v>
      </c>
      <c r="F86" s="17"/>
      <c r="G86" s="1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81" t="s">
        <v>234</v>
      </c>
      <c r="B87" s="143"/>
      <c r="C87" s="143"/>
      <c r="D87" s="42"/>
      <c r="E87" s="303">
        <f>SUM(E81:E86)</f>
        <v>0</v>
      </c>
      <c r="F87" s="43"/>
      <c r="G87" s="43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.75" customHeight="1" x14ac:dyDescent="0.25">
      <c r="A88" s="293" t="s">
        <v>235</v>
      </c>
      <c r="B88" s="294" t="s">
        <v>207</v>
      </c>
      <c r="C88" s="298">
        <f>'6. Encargos Sociais'!$C$37*100</f>
        <v>71.22548900000001</v>
      </c>
      <c r="D88" s="295">
        <f>E87</f>
        <v>0</v>
      </c>
      <c r="E88" s="295">
        <f>D88*C88/100</f>
        <v>0</v>
      </c>
      <c r="F88" s="17"/>
      <c r="G88" s="1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81" t="s">
        <v>245</v>
      </c>
      <c r="B89" s="304"/>
      <c r="C89" s="304"/>
      <c r="D89" s="305"/>
      <c r="E89" s="303">
        <f>E87+E88</f>
        <v>0</v>
      </c>
      <c r="F89" s="43"/>
      <c r="G89" s="43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.75" customHeight="1" x14ac:dyDescent="0.25">
      <c r="A90" s="293" t="s">
        <v>237</v>
      </c>
      <c r="B90" s="294" t="s">
        <v>238</v>
      </c>
      <c r="C90" s="299">
        <f>'0. Qtdades e Custos'!D21</f>
        <v>2</v>
      </c>
      <c r="D90" s="295">
        <f>E89</f>
        <v>0</v>
      </c>
      <c r="E90" s="295">
        <f>C90*D90</f>
        <v>0</v>
      </c>
      <c r="F90" s="17"/>
      <c r="G90" s="1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205" t="s">
        <v>239</v>
      </c>
      <c r="E91" s="300">
        <f>$B$51</f>
        <v>1</v>
      </c>
      <c r="F91" s="301">
        <f>E90*E91</f>
        <v>0</v>
      </c>
      <c r="G91" s="1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1.25" customHeight="1" x14ac:dyDescent="0.25">
      <c r="A92" s="15"/>
      <c r="B92" s="15"/>
      <c r="C92" s="15"/>
      <c r="D92" s="17"/>
      <c r="E92" s="17"/>
      <c r="F92" s="17"/>
      <c r="G92" s="1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 t="s">
        <v>406</v>
      </c>
      <c r="B93" s="306"/>
      <c r="C93" s="15"/>
      <c r="D93" s="15"/>
      <c r="E93" s="15"/>
      <c r="F93" s="1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284" t="s">
        <v>227</v>
      </c>
      <c r="B94" s="285" t="s">
        <v>98</v>
      </c>
      <c r="C94" s="285" t="s">
        <v>55</v>
      </c>
      <c r="D94" s="286" t="s">
        <v>228</v>
      </c>
      <c r="E94" s="286" t="s">
        <v>229</v>
      </c>
      <c r="F94" s="287" t="s">
        <v>230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293" t="s">
        <v>249</v>
      </c>
      <c r="B95" s="294" t="s">
        <v>250</v>
      </c>
      <c r="C95" s="307">
        <v>1</v>
      </c>
      <c r="D95" s="308"/>
      <c r="E95" s="295"/>
      <c r="F95" s="17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293" t="s">
        <v>251</v>
      </c>
      <c r="B96" s="294" t="s">
        <v>252</v>
      </c>
      <c r="C96" s="309">
        <v>25.25</v>
      </c>
      <c r="D96" s="295"/>
      <c r="E96" s="295"/>
      <c r="F96" s="1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293" t="str">
        <f>A55</f>
        <v>1.1. Operários/Agentes de Limpeza</v>
      </c>
      <c r="B97" s="294" t="s">
        <v>253</v>
      </c>
      <c r="C97" s="310">
        <f>$C$96*2*(C64)</f>
        <v>3030</v>
      </c>
      <c r="D97" s="292">
        <f>IFERROR((($C$96*2*$D$95)-(E57*0.06*$C$96/26))/($C$96*2),"-")</f>
        <v>0</v>
      </c>
      <c r="E97" s="295">
        <f>IFERROR(C97*D97,"-")</f>
        <v>0</v>
      </c>
      <c r="F97" s="1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293" t="str">
        <f>A67</f>
        <v>1.2. Encarregado de Equipe</v>
      </c>
      <c r="B98" s="294" t="s">
        <v>253</v>
      </c>
      <c r="C98" s="310">
        <f>$C$96*2*(C76)</f>
        <v>50.5</v>
      </c>
      <c r="D98" s="292">
        <f>IFERROR((($C$96*2*$D$95)-(E69*0.06*$C$96/26))/($C$96*2),"-")</f>
        <v>0</v>
      </c>
      <c r="E98" s="295">
        <f>IFERROR(C98*D98,"-")</f>
        <v>0</v>
      </c>
      <c r="F98" s="1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293" t="str">
        <f>A79</f>
        <v>1.3. Motorista Caminhão</v>
      </c>
      <c r="B99" s="294" t="s">
        <v>253</v>
      </c>
      <c r="C99" s="310">
        <f>$C$96*2*(C90)</f>
        <v>101</v>
      </c>
      <c r="D99" s="292">
        <f>IFERROR((($C$96*2*$D$95)-(E81*0.06*$C$96/26))/($C$96*2),"-")</f>
        <v>0</v>
      </c>
      <c r="E99" s="295">
        <f>IFERROR(C99*D99,"-")</f>
        <v>0</v>
      </c>
      <c r="F99" s="1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7"/>
      <c r="E100" s="17"/>
      <c r="F100" s="312">
        <f>SUM(E97:E99)</f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1.25" customHeight="1" x14ac:dyDescent="0.25">
      <c r="A101" s="15"/>
      <c r="B101" s="15"/>
      <c r="C101" s="15"/>
      <c r="D101" s="17"/>
      <c r="E101" s="17"/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 t="s">
        <v>407</v>
      </c>
      <c r="B102" s="15"/>
      <c r="C102" s="15"/>
      <c r="D102" s="17"/>
      <c r="E102" s="17"/>
      <c r="F102" s="43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284" t="s">
        <v>227</v>
      </c>
      <c r="B103" s="285" t="s">
        <v>98</v>
      </c>
      <c r="C103" s="285" t="s">
        <v>55</v>
      </c>
      <c r="D103" s="286" t="s">
        <v>228</v>
      </c>
      <c r="E103" s="286" t="s">
        <v>229</v>
      </c>
      <c r="F103" s="287" t="s">
        <v>230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293" t="str">
        <f>+A97</f>
        <v>1.1. Operários/Agentes de Limpeza</v>
      </c>
      <c r="B104" s="294" t="s">
        <v>255</v>
      </c>
      <c r="C104" s="310">
        <f>$C$96*(E42)</f>
        <v>1515</v>
      </c>
      <c r="D104" s="313"/>
      <c r="E104" s="300">
        <f>C104*D104</f>
        <v>0</v>
      </c>
      <c r="F104" s="43"/>
      <c r="G104" s="288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293" t="str">
        <f>+A98</f>
        <v>1.2. Encarregado de Equipe</v>
      </c>
      <c r="B105" s="294" t="s">
        <v>255</v>
      </c>
      <c r="C105" s="310">
        <f>$C$96*(E43)</f>
        <v>25.25</v>
      </c>
      <c r="D105" s="313"/>
      <c r="E105" s="300">
        <f>C105*D105</f>
        <v>0</v>
      </c>
      <c r="F105" s="43"/>
      <c r="G105" s="288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293" t="str">
        <f>+A99</f>
        <v>1.3. Motorista Caminhão</v>
      </c>
      <c r="B106" s="294" t="s">
        <v>255</v>
      </c>
      <c r="C106" s="310">
        <f>$C$96*(E44)</f>
        <v>50.5</v>
      </c>
      <c r="D106" s="313"/>
      <c r="E106" s="300">
        <f>C106*D106</f>
        <v>0</v>
      </c>
      <c r="F106" s="43"/>
      <c r="G106" s="288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7"/>
      <c r="E107" s="17"/>
      <c r="F107" s="312">
        <f>SUM(E104:E106)</f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7"/>
      <c r="E108" s="17"/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 t="s">
        <v>408</v>
      </c>
      <c r="B109" s="15"/>
      <c r="C109" s="15"/>
      <c r="D109" s="17"/>
      <c r="E109" s="17"/>
      <c r="F109" s="43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284" t="s">
        <v>227</v>
      </c>
      <c r="B110" s="285" t="s">
        <v>98</v>
      </c>
      <c r="C110" s="285" t="s">
        <v>55</v>
      </c>
      <c r="D110" s="286" t="s">
        <v>228</v>
      </c>
      <c r="E110" s="286" t="s">
        <v>229</v>
      </c>
      <c r="F110" s="287" t="s">
        <v>230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293" t="str">
        <f>+A104</f>
        <v>1.1. Operários/Agentes de Limpeza</v>
      </c>
      <c r="B111" s="294" t="s">
        <v>255</v>
      </c>
      <c r="C111" s="310">
        <f>E42</f>
        <v>60</v>
      </c>
      <c r="D111" s="313">
        <v>0</v>
      </c>
      <c r="E111" s="300">
        <f>C111*D111</f>
        <v>0</v>
      </c>
      <c r="F111" s="43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293" t="str">
        <f>+A105</f>
        <v>1.2. Encarregado de Equipe</v>
      </c>
      <c r="B112" s="294" t="s">
        <v>255</v>
      </c>
      <c r="C112" s="310">
        <f>E43</f>
        <v>1</v>
      </c>
      <c r="D112" s="313">
        <v>0</v>
      </c>
      <c r="E112" s="300">
        <f>C112*D112</f>
        <v>0</v>
      </c>
      <c r="F112" s="43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293" t="str">
        <f>+A106</f>
        <v>1.3. Motorista Caminhão</v>
      </c>
      <c r="B113" s="294" t="s">
        <v>255</v>
      </c>
      <c r="C113" s="310">
        <f>E44</f>
        <v>2</v>
      </c>
      <c r="D113" s="313"/>
      <c r="E113" s="300">
        <f>C113*D113</f>
        <v>0</v>
      </c>
      <c r="F113" s="43"/>
      <c r="G113" s="288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205" t="s">
        <v>239</v>
      </c>
      <c r="E114" s="300">
        <f>$B$51</f>
        <v>1</v>
      </c>
      <c r="F114" s="312">
        <f>SUM(E111:E113)*E114</f>
        <v>0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7"/>
      <c r="E115" s="17"/>
      <c r="F115" s="1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316" t="s">
        <v>257</v>
      </c>
      <c r="B116" s="317"/>
      <c r="C116" s="317"/>
      <c r="D116" s="257"/>
      <c r="E116" s="318"/>
      <c r="F116" s="312">
        <f>F65+F77+F91+F100+F107+F114</f>
        <v>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7"/>
      <c r="E117" s="17"/>
      <c r="F117" s="17"/>
      <c r="G117" s="1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44" t="s">
        <v>258</v>
      </c>
      <c r="B118" s="15"/>
      <c r="C118" s="15"/>
      <c r="D118" s="17"/>
      <c r="E118" s="17"/>
      <c r="F118" s="17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1.25" customHeight="1" x14ac:dyDescent="0.25">
      <c r="A119" s="15"/>
      <c r="B119" s="15"/>
      <c r="C119" s="15"/>
      <c r="D119" s="17"/>
      <c r="E119" s="17"/>
      <c r="F119" s="17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3.5" customHeight="1" x14ac:dyDescent="0.25">
      <c r="A120" s="15" t="s">
        <v>259</v>
      </c>
      <c r="B120" s="15"/>
      <c r="C120" s="15"/>
      <c r="D120" s="17"/>
      <c r="E120" s="17"/>
      <c r="F120" s="17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1.25" customHeight="1" x14ac:dyDescent="0.25">
      <c r="A121" s="15"/>
      <c r="B121" s="15"/>
      <c r="C121" s="15"/>
      <c r="D121" s="17"/>
      <c r="E121" s="17"/>
      <c r="F121" s="17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7.75" customHeight="1" x14ac:dyDescent="0.25">
      <c r="A122" s="284" t="s">
        <v>227</v>
      </c>
      <c r="B122" s="285" t="s">
        <v>98</v>
      </c>
      <c r="C122" s="319" t="s">
        <v>260</v>
      </c>
      <c r="D122" s="286" t="s">
        <v>228</v>
      </c>
      <c r="E122" s="286" t="s">
        <v>229</v>
      </c>
      <c r="F122" s="287" t="s">
        <v>230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320" t="s">
        <v>134</v>
      </c>
      <c r="B123" s="290" t="s">
        <v>255</v>
      </c>
      <c r="C123" s="321">
        <f>12/'0. Qtdades e Custos'!C127</f>
        <v>12</v>
      </c>
      <c r="D123" s="291">
        <f>VLOOKUP(A123,'0. Qtdades e Custos'!$B$198:$F$212,4,0)</f>
        <v>0</v>
      </c>
      <c r="E123" s="292">
        <f t="shared" ref="E123:E134" si="1">IFERROR(D123/C123,0)</f>
        <v>0</v>
      </c>
      <c r="F123" s="17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289" t="s">
        <v>135</v>
      </c>
      <c r="B124" s="294" t="s">
        <v>255</v>
      </c>
      <c r="C124" s="321">
        <f>12/'0. Qtdades e Custos'!C128</f>
        <v>2</v>
      </c>
      <c r="D124" s="291">
        <f>VLOOKUP(A124,'0. Qtdades e Custos'!$B$198:$F$212,4,0)</f>
        <v>0</v>
      </c>
      <c r="E124" s="292">
        <f t="shared" si="1"/>
        <v>0</v>
      </c>
      <c r="F124" s="1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320" t="s">
        <v>136</v>
      </c>
      <c r="B125" s="294" t="s">
        <v>255</v>
      </c>
      <c r="C125" s="321">
        <f>12/'0. Qtdades e Custos'!C129</f>
        <v>2</v>
      </c>
      <c r="D125" s="291">
        <f>VLOOKUP(A125,'0. Qtdades e Custos'!$B$198:$F$212,4,0)</f>
        <v>0</v>
      </c>
      <c r="E125" s="292">
        <f t="shared" si="1"/>
        <v>0</v>
      </c>
      <c r="F125" s="1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320" t="s">
        <v>137</v>
      </c>
      <c r="B126" s="294" t="s">
        <v>255</v>
      </c>
      <c r="C126" s="321">
        <f>12/'0. Qtdades e Custos'!C130</f>
        <v>2</v>
      </c>
      <c r="D126" s="291">
        <f>VLOOKUP(A126,'0. Qtdades e Custos'!$B$198:$F$212,4,0)</f>
        <v>0</v>
      </c>
      <c r="E126" s="292">
        <f t="shared" si="1"/>
        <v>0</v>
      </c>
      <c r="F126" s="1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289" t="s">
        <v>138</v>
      </c>
      <c r="B127" s="294" t="s">
        <v>255</v>
      </c>
      <c r="C127" s="321">
        <f>12/'0. Qtdades e Custos'!C131</f>
        <v>4</v>
      </c>
      <c r="D127" s="291">
        <f>VLOOKUP(A127,'0. Qtdades e Custos'!$B$198:$F$212,4,0)</f>
        <v>0</v>
      </c>
      <c r="E127" s="292">
        <f t="shared" si="1"/>
        <v>0</v>
      </c>
      <c r="F127" s="17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289" t="s">
        <v>139</v>
      </c>
      <c r="B128" s="294" t="s">
        <v>255</v>
      </c>
      <c r="C128" s="321">
        <f>12/'0. Qtdades e Custos'!C132</f>
        <v>4</v>
      </c>
      <c r="D128" s="291">
        <f>VLOOKUP(A128,'0. Qtdades e Custos'!$B$198:$F$212,4,0)</f>
        <v>0</v>
      </c>
      <c r="E128" s="292">
        <f t="shared" si="1"/>
        <v>0</v>
      </c>
      <c r="F128" s="17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293" t="s">
        <v>140</v>
      </c>
      <c r="B129" s="294" t="s">
        <v>255</v>
      </c>
      <c r="C129" s="321">
        <f>12/'0. Qtdades e Custos'!C133</f>
        <v>12</v>
      </c>
      <c r="D129" s="291">
        <f>VLOOKUP(A129,'0. Qtdades e Custos'!$B$198:$F$212,4,0)</f>
        <v>0</v>
      </c>
      <c r="E129" s="292">
        <f t="shared" si="1"/>
        <v>0</v>
      </c>
      <c r="F129" s="1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293" t="s">
        <v>141</v>
      </c>
      <c r="B130" s="294" t="s">
        <v>255</v>
      </c>
      <c r="C130" s="321">
        <f>12/'0. Qtdades e Custos'!C134</f>
        <v>4</v>
      </c>
      <c r="D130" s="291">
        <f>VLOOKUP(A130,'0. Qtdades e Custos'!$B$198:$F$212,4,0)</f>
        <v>0</v>
      </c>
      <c r="E130" s="292">
        <f t="shared" si="1"/>
        <v>0</v>
      </c>
      <c r="F130" s="17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293" t="s">
        <v>142</v>
      </c>
      <c r="B131" s="294" t="s">
        <v>255</v>
      </c>
      <c r="C131" s="321">
        <f>12/'0. Qtdades e Custos'!C135</f>
        <v>4</v>
      </c>
      <c r="D131" s="291">
        <f>VLOOKUP(A131,'0. Qtdades e Custos'!$B$198:$F$212,4,0)</f>
        <v>0</v>
      </c>
      <c r="E131" s="292">
        <f t="shared" si="1"/>
        <v>0</v>
      </c>
      <c r="F131" s="1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3.5" customHeight="1" x14ac:dyDescent="0.25">
      <c r="A132" s="293" t="s">
        <v>143</v>
      </c>
      <c r="B132" s="294" t="s">
        <v>171</v>
      </c>
      <c r="C132" s="321">
        <f>12/'0. Qtdades e Custos'!C136</f>
        <v>0.5</v>
      </c>
      <c r="D132" s="291">
        <f>VLOOKUP(A132,'0. Qtdades e Custos'!$B$198:$F$212,4,0)</f>
        <v>0</v>
      </c>
      <c r="E132" s="292">
        <f t="shared" si="1"/>
        <v>0</v>
      </c>
      <c r="F132" s="1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293" t="s">
        <v>144</v>
      </c>
      <c r="B133" s="294" t="s">
        <v>255</v>
      </c>
      <c r="C133" s="321">
        <f>12/'0. Qtdades e Custos'!C137</f>
        <v>1</v>
      </c>
      <c r="D133" s="291">
        <f>VLOOKUP(A133,'0. Qtdades e Custos'!$B$198:$F$212,4,0)</f>
        <v>0</v>
      </c>
      <c r="E133" s="292">
        <f t="shared" si="1"/>
        <v>0</v>
      </c>
      <c r="F133" s="17"/>
      <c r="G133" s="1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293" t="s">
        <v>145</v>
      </c>
      <c r="B134" s="294" t="s">
        <v>171</v>
      </c>
      <c r="C134" s="321">
        <f>12/'0. Qtdades e Custos'!C138</f>
        <v>2</v>
      </c>
      <c r="D134" s="291">
        <f>VLOOKUP(A134,'0. Qtdades e Custos'!$B$198:$F$212,4,0)</f>
        <v>0</v>
      </c>
      <c r="E134" s="292">
        <f t="shared" si="1"/>
        <v>0</v>
      </c>
      <c r="F134" s="17"/>
      <c r="G134" s="1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293" t="s">
        <v>237</v>
      </c>
      <c r="B135" s="294" t="s">
        <v>238</v>
      </c>
      <c r="C135" s="323">
        <f>E42</f>
        <v>60</v>
      </c>
      <c r="D135" s="295">
        <f>+SUM(E123:E134)</f>
        <v>0</v>
      </c>
      <c r="E135" s="295">
        <f>C135*D135</f>
        <v>0</v>
      </c>
      <c r="F135" s="17"/>
      <c r="G135" s="17"/>
      <c r="H135" s="15"/>
      <c r="I135" s="15"/>
      <c r="J135" s="15"/>
      <c r="K135" s="15"/>
      <c r="L135" s="15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5">
      <c r="A136" s="15"/>
      <c r="B136" s="15"/>
      <c r="C136" s="15"/>
      <c r="D136" s="205" t="s">
        <v>239</v>
      </c>
      <c r="E136" s="300">
        <f>$B$51</f>
        <v>1</v>
      </c>
      <c r="F136" s="301">
        <f>E135*E136</f>
        <v>0</v>
      </c>
      <c r="G136" s="17"/>
      <c r="H136" s="15"/>
      <c r="I136" s="15"/>
      <c r="J136" s="15"/>
      <c r="K136" s="15"/>
      <c r="L136" s="15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1.25" customHeight="1" x14ac:dyDescent="0.25">
      <c r="A137" s="15"/>
      <c r="B137" s="15"/>
      <c r="C137" s="15"/>
      <c r="D137" s="17"/>
      <c r="E137" s="17"/>
      <c r="F137" s="17"/>
      <c r="G137" s="17"/>
      <c r="H137" s="15"/>
      <c r="I137" s="15"/>
      <c r="J137" s="15"/>
      <c r="K137" s="15"/>
      <c r="L137" s="15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1.25" customHeight="1" x14ac:dyDescent="0.25">
      <c r="A138" s="15" t="s">
        <v>261</v>
      </c>
      <c r="B138" s="15"/>
      <c r="C138" s="15"/>
      <c r="D138" s="17"/>
      <c r="E138" s="17"/>
      <c r="F138" s="17"/>
      <c r="G138" s="17"/>
      <c r="H138" s="15"/>
      <c r="I138" s="15"/>
      <c r="J138" s="15"/>
      <c r="K138" s="15"/>
      <c r="L138" s="15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1.25" customHeight="1" x14ac:dyDescent="0.25">
      <c r="A139" s="15"/>
      <c r="B139" s="15"/>
      <c r="C139" s="15"/>
      <c r="D139" s="17"/>
      <c r="E139" s="17"/>
      <c r="F139" s="17"/>
      <c r="G139" s="17"/>
      <c r="H139" s="15"/>
      <c r="I139" s="15"/>
      <c r="J139" s="15"/>
      <c r="K139" s="15"/>
      <c r="L139" s="15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1.25" customHeight="1" x14ac:dyDescent="0.25">
      <c r="A140" s="284" t="s">
        <v>227</v>
      </c>
      <c r="B140" s="285" t="s">
        <v>98</v>
      </c>
      <c r="C140" s="319" t="s">
        <v>260</v>
      </c>
      <c r="D140" s="286" t="s">
        <v>228</v>
      </c>
      <c r="E140" s="286" t="s">
        <v>229</v>
      </c>
      <c r="F140" s="287" t="s">
        <v>230</v>
      </c>
      <c r="G140" s="17"/>
      <c r="H140" s="15"/>
      <c r="I140" s="15"/>
      <c r="J140" s="15"/>
      <c r="K140" s="15"/>
      <c r="L140" s="15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1.25" customHeight="1" x14ac:dyDescent="0.25">
      <c r="A141" s="320" t="s">
        <v>134</v>
      </c>
      <c r="B141" s="290" t="s">
        <v>255</v>
      </c>
      <c r="C141" s="321">
        <f>12/'0. Qtdades e Custos'!H127</f>
        <v>12</v>
      </c>
      <c r="D141" s="291">
        <f>VLOOKUP(A141,'0. Qtdades e Custos'!$B$198:$F$212,4,0)</f>
        <v>0</v>
      </c>
      <c r="E141" s="292">
        <f t="shared" ref="E141:E150" si="2">IFERROR(D141/C141,0)</f>
        <v>0</v>
      </c>
      <c r="F141" s="17"/>
      <c r="G141" s="17"/>
      <c r="H141" s="15"/>
      <c r="I141" s="15"/>
      <c r="J141" s="15"/>
      <c r="K141" s="15"/>
      <c r="L141" s="15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1.25" customHeight="1" x14ac:dyDescent="0.25">
      <c r="A142" s="289" t="s">
        <v>135</v>
      </c>
      <c r="B142" s="294" t="s">
        <v>255</v>
      </c>
      <c r="C142" s="321">
        <f>12/'0. Qtdades e Custos'!H128</f>
        <v>2</v>
      </c>
      <c r="D142" s="291">
        <f>VLOOKUP(A142,'0. Qtdades e Custos'!$B$198:$F$212,4,0)</f>
        <v>0</v>
      </c>
      <c r="E142" s="292">
        <f t="shared" si="2"/>
        <v>0</v>
      </c>
      <c r="F142" s="17"/>
      <c r="G142" s="17"/>
      <c r="H142" s="15"/>
      <c r="I142" s="15"/>
      <c r="J142" s="15"/>
      <c r="K142" s="15"/>
      <c r="L142" s="15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6.25" customHeight="1" x14ac:dyDescent="0.25">
      <c r="A143" s="320" t="s">
        <v>136</v>
      </c>
      <c r="B143" s="294" t="s">
        <v>255</v>
      </c>
      <c r="C143" s="321">
        <f>12/'0. Qtdades e Custos'!H129</f>
        <v>2</v>
      </c>
      <c r="D143" s="291">
        <f>VLOOKUP(A143,'0. Qtdades e Custos'!$B$198:$F$212,4,0)</f>
        <v>0</v>
      </c>
      <c r="E143" s="292">
        <f t="shared" si="2"/>
        <v>0</v>
      </c>
      <c r="F143" s="17"/>
      <c r="G143" s="17"/>
      <c r="H143" s="15"/>
      <c r="I143" s="15"/>
      <c r="J143" s="15"/>
      <c r="K143" s="15"/>
      <c r="L143" s="15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5.5" customHeight="1" x14ac:dyDescent="0.25">
      <c r="A144" s="320" t="s">
        <v>137</v>
      </c>
      <c r="B144" s="294" t="s">
        <v>255</v>
      </c>
      <c r="C144" s="321">
        <f>12/'0. Qtdades e Custos'!H130</f>
        <v>2</v>
      </c>
      <c r="D144" s="291">
        <f>VLOOKUP(A144,'0. Qtdades e Custos'!$B$198:$F$212,4,0)</f>
        <v>0</v>
      </c>
      <c r="E144" s="292">
        <f t="shared" si="2"/>
        <v>0</v>
      </c>
      <c r="F144" s="17"/>
      <c r="G144" s="17"/>
      <c r="H144" s="15"/>
      <c r="I144" s="15"/>
      <c r="J144" s="15"/>
      <c r="K144" s="15"/>
      <c r="L144" s="15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1.25" customHeight="1" x14ac:dyDescent="0.25">
      <c r="A145" s="289" t="s">
        <v>138</v>
      </c>
      <c r="B145" s="294" t="s">
        <v>255</v>
      </c>
      <c r="C145" s="321">
        <f>12/'0. Qtdades e Custos'!H131</f>
        <v>4</v>
      </c>
      <c r="D145" s="291">
        <f>VLOOKUP(A145,'0. Qtdades e Custos'!$B$198:$F$212,4,0)</f>
        <v>0</v>
      </c>
      <c r="E145" s="292">
        <f t="shared" si="2"/>
        <v>0</v>
      </c>
      <c r="F145" s="17"/>
      <c r="G145" s="17"/>
      <c r="H145" s="15"/>
      <c r="I145" s="15"/>
      <c r="J145" s="15"/>
      <c r="K145" s="15"/>
      <c r="L145" s="15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1.25" customHeight="1" x14ac:dyDescent="0.25">
      <c r="A146" s="289" t="s">
        <v>139</v>
      </c>
      <c r="B146" s="294" t="s">
        <v>255</v>
      </c>
      <c r="C146" s="321">
        <f>12/'0. Qtdades e Custos'!H132</f>
        <v>4</v>
      </c>
      <c r="D146" s="291">
        <f>VLOOKUP(A146,'0. Qtdades e Custos'!$B$198:$F$212,4,0)</f>
        <v>0</v>
      </c>
      <c r="E146" s="292">
        <f t="shared" si="2"/>
        <v>0</v>
      </c>
      <c r="F146" s="17"/>
      <c r="G146" s="17"/>
      <c r="H146" s="15"/>
      <c r="I146" s="15"/>
      <c r="J146" s="15"/>
      <c r="K146" s="15"/>
      <c r="L146" s="15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1.25" customHeight="1" x14ac:dyDescent="0.25">
      <c r="A147" s="293" t="s">
        <v>140</v>
      </c>
      <c r="B147" s="294" t="s">
        <v>255</v>
      </c>
      <c r="C147" s="321">
        <f>12/'0. Qtdades e Custos'!H133</f>
        <v>12</v>
      </c>
      <c r="D147" s="291">
        <f>VLOOKUP(A147,'0. Qtdades e Custos'!$B$198:$F$212,4,0)</f>
        <v>0</v>
      </c>
      <c r="E147" s="292">
        <f t="shared" si="2"/>
        <v>0</v>
      </c>
      <c r="F147" s="17"/>
      <c r="G147" s="17"/>
      <c r="H147" s="15"/>
      <c r="I147" s="15"/>
      <c r="J147" s="15"/>
      <c r="K147" s="15"/>
      <c r="L147" s="15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1.25" customHeight="1" x14ac:dyDescent="0.25">
      <c r="A148" s="293" t="s">
        <v>141</v>
      </c>
      <c r="B148" s="294" t="s">
        <v>255</v>
      </c>
      <c r="C148" s="321">
        <f>12/'0. Qtdades e Custos'!H134</f>
        <v>4</v>
      </c>
      <c r="D148" s="291">
        <f>VLOOKUP(A148,'0. Qtdades e Custos'!$B$198:$F$212,4,0)</f>
        <v>0</v>
      </c>
      <c r="E148" s="292">
        <f t="shared" si="2"/>
        <v>0</v>
      </c>
      <c r="F148" s="17"/>
      <c r="G148" s="17"/>
      <c r="H148" s="15"/>
      <c r="I148" s="15"/>
      <c r="J148" s="15"/>
      <c r="K148" s="15"/>
      <c r="L148" s="15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1.25" customHeight="1" x14ac:dyDescent="0.25">
      <c r="A149" s="293" t="s">
        <v>142</v>
      </c>
      <c r="B149" s="294" t="s">
        <v>255</v>
      </c>
      <c r="C149" s="321">
        <f>12/'0. Qtdades e Custos'!H135</f>
        <v>4</v>
      </c>
      <c r="D149" s="291">
        <f>VLOOKUP(A149,'0. Qtdades e Custos'!$B$198:$F$212,4,0)</f>
        <v>0</v>
      </c>
      <c r="E149" s="292">
        <f t="shared" si="2"/>
        <v>0</v>
      </c>
      <c r="F149" s="17"/>
      <c r="G149" s="17"/>
      <c r="H149" s="15"/>
      <c r="I149" s="15"/>
      <c r="J149" s="15"/>
      <c r="K149" s="15"/>
      <c r="L149" s="15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1.25" customHeight="1" x14ac:dyDescent="0.25">
      <c r="A150" s="293" t="s">
        <v>145</v>
      </c>
      <c r="B150" s="294" t="s">
        <v>171</v>
      </c>
      <c r="C150" s="321">
        <f>12/'0. Qtdades e Custos'!H138</f>
        <v>2</v>
      </c>
      <c r="D150" s="291">
        <f>VLOOKUP(A150,'0. Qtdades e Custos'!$B$198:$F$212,4,0)</f>
        <v>0</v>
      </c>
      <c r="E150" s="292">
        <f t="shared" si="2"/>
        <v>0</v>
      </c>
      <c r="F150" s="17"/>
      <c r="G150" s="17"/>
      <c r="H150" s="15"/>
      <c r="I150" s="15"/>
      <c r="J150" s="15"/>
      <c r="K150" s="15"/>
      <c r="L150" s="15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1.25" customHeight="1" x14ac:dyDescent="0.25">
      <c r="A151" s="293" t="s">
        <v>237</v>
      </c>
      <c r="B151" s="294" t="s">
        <v>238</v>
      </c>
      <c r="C151" s="323">
        <f>E43</f>
        <v>1</v>
      </c>
      <c r="D151" s="295">
        <f>+SUM(E141:E150)</f>
        <v>0</v>
      </c>
      <c r="E151" s="295">
        <f>C151*D151</f>
        <v>0</v>
      </c>
      <c r="F151" s="17"/>
      <c r="G151" s="1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1.25" customHeight="1" x14ac:dyDescent="0.25">
      <c r="A152" s="15"/>
      <c r="B152" s="15"/>
      <c r="C152" s="15"/>
      <c r="D152" s="205" t="s">
        <v>239</v>
      </c>
      <c r="E152" s="300">
        <f>$B$51</f>
        <v>1</v>
      </c>
      <c r="F152" s="301">
        <f>E151*E152</f>
        <v>0</v>
      </c>
      <c r="G152" s="1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1.25" customHeight="1" x14ac:dyDescent="0.25">
      <c r="A153" s="15"/>
      <c r="B153" s="15"/>
      <c r="C153" s="15"/>
      <c r="D153" s="17"/>
      <c r="E153" s="17"/>
      <c r="F153" s="17"/>
      <c r="G153" s="17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3.5" customHeight="1" x14ac:dyDescent="0.25">
      <c r="A154" s="15" t="s">
        <v>262</v>
      </c>
      <c r="B154" s="15"/>
      <c r="C154" s="15"/>
      <c r="D154" s="17"/>
      <c r="E154" s="17"/>
      <c r="F154" s="17"/>
      <c r="G154" s="17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1.25" customHeight="1" x14ac:dyDescent="0.25">
      <c r="A155" s="15"/>
      <c r="B155" s="15"/>
      <c r="C155" s="15"/>
      <c r="D155" s="17"/>
      <c r="E155" s="17"/>
      <c r="F155" s="17"/>
      <c r="G155" s="17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284" t="s">
        <v>227</v>
      </c>
      <c r="B156" s="285" t="s">
        <v>98</v>
      </c>
      <c r="C156" s="319" t="s">
        <v>260</v>
      </c>
      <c r="D156" s="286" t="s">
        <v>228</v>
      </c>
      <c r="E156" s="286" t="s">
        <v>229</v>
      </c>
      <c r="F156" s="287" t="s">
        <v>230</v>
      </c>
      <c r="G156" s="17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320" t="s">
        <v>134</v>
      </c>
      <c r="B157" s="290" t="s">
        <v>255</v>
      </c>
      <c r="C157" s="321">
        <f>12/'0. Qtdades e Custos'!F127</f>
        <v>12</v>
      </c>
      <c r="D157" s="291">
        <f>VLOOKUP(A157,'0. Qtdades e Custos'!$B$198:$F$212,4,0)</f>
        <v>0</v>
      </c>
      <c r="E157" s="292">
        <f t="shared" ref="E157:E162" si="3">IFERROR(D157/C157,0)</f>
        <v>0</v>
      </c>
      <c r="F157" s="17"/>
      <c r="G157" s="17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293" t="s">
        <v>135</v>
      </c>
      <c r="B158" s="294" t="s">
        <v>255</v>
      </c>
      <c r="C158" s="321">
        <f>12/'0. Qtdades e Custos'!F128</f>
        <v>2</v>
      </c>
      <c r="D158" s="291">
        <f>VLOOKUP(A158,'0. Qtdades e Custos'!$B$198:$F$212,4,0)</f>
        <v>0</v>
      </c>
      <c r="E158" s="292">
        <f t="shared" si="3"/>
        <v>0</v>
      </c>
      <c r="F158" s="17"/>
      <c r="G158" s="17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314" t="s">
        <v>136</v>
      </c>
      <c r="B159" s="294" t="s">
        <v>255</v>
      </c>
      <c r="C159" s="321">
        <f>12/'0. Qtdades e Custos'!F129</f>
        <v>2</v>
      </c>
      <c r="D159" s="291">
        <f>VLOOKUP(A159,'0. Qtdades e Custos'!$B$198:$F$212,4,0)</f>
        <v>0</v>
      </c>
      <c r="E159" s="292">
        <f t="shared" si="3"/>
        <v>0</v>
      </c>
      <c r="F159" s="17"/>
      <c r="G159" s="17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314" t="s">
        <v>137</v>
      </c>
      <c r="B160" s="294" t="s">
        <v>255</v>
      </c>
      <c r="C160" s="321">
        <f>12/'0. Qtdades e Custos'!F130</f>
        <v>2</v>
      </c>
      <c r="D160" s="291">
        <f>VLOOKUP(A160,'0. Qtdades e Custos'!$B$198:$F$212,4,0)</f>
        <v>0</v>
      </c>
      <c r="E160" s="292">
        <f t="shared" si="3"/>
        <v>0</v>
      </c>
      <c r="F160" s="17"/>
      <c r="G160" s="17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293" t="s">
        <v>139</v>
      </c>
      <c r="B161" s="294" t="s">
        <v>255</v>
      </c>
      <c r="C161" s="321">
        <f>12/'0. Qtdades e Custos'!F132</f>
        <v>12</v>
      </c>
      <c r="D161" s="291">
        <f>VLOOKUP(A161,'0. Qtdades e Custos'!$B$198:$F$212,4,0)</f>
        <v>0</v>
      </c>
      <c r="E161" s="292">
        <f t="shared" si="3"/>
        <v>0</v>
      </c>
      <c r="F161" s="17"/>
      <c r="G161" s="17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293" t="s">
        <v>145</v>
      </c>
      <c r="B162" s="294" t="s">
        <v>171</v>
      </c>
      <c r="C162" s="321">
        <f>12/'0. Qtdades e Custos'!F138</f>
        <v>2</v>
      </c>
      <c r="D162" s="291">
        <f>VLOOKUP(A162,'0. Qtdades e Custos'!$B$198:$F$212,4,0)</f>
        <v>0</v>
      </c>
      <c r="E162" s="292">
        <f t="shared" si="3"/>
        <v>0</v>
      </c>
      <c r="F162" s="17"/>
      <c r="G162" s="17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293" t="s">
        <v>237</v>
      </c>
      <c r="B163" s="294" t="s">
        <v>238</v>
      </c>
      <c r="C163" s="323">
        <f>E44</f>
        <v>2</v>
      </c>
      <c r="D163" s="295">
        <f>+SUM(E157:E162)</f>
        <v>0</v>
      </c>
      <c r="E163" s="295">
        <f>C163*D163</f>
        <v>0</v>
      </c>
      <c r="F163" s="17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205" t="s">
        <v>239</v>
      </c>
      <c r="E164" s="300">
        <f>$B$51</f>
        <v>1</v>
      </c>
      <c r="F164" s="301">
        <f>E163*E164</f>
        <v>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1.25" customHeight="1" x14ac:dyDescent="0.25">
      <c r="A165" s="15"/>
      <c r="B165" s="15"/>
      <c r="C165" s="15"/>
      <c r="D165" s="17"/>
      <c r="E165" s="17"/>
      <c r="F165" s="1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316" t="s">
        <v>265</v>
      </c>
      <c r="B166" s="324"/>
      <c r="C166" s="324"/>
      <c r="D166" s="325"/>
      <c r="E166" s="326"/>
      <c r="F166" s="327">
        <f>+F136+F152+F164</f>
        <v>0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1.25" customHeight="1" x14ac:dyDescent="0.25">
      <c r="A167" s="15"/>
      <c r="B167" s="15"/>
      <c r="C167" s="15"/>
      <c r="D167" s="17"/>
      <c r="E167" s="17"/>
      <c r="F167" s="17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44" t="s">
        <v>266</v>
      </c>
      <c r="B168" s="15"/>
      <c r="C168" s="15"/>
      <c r="D168" s="17"/>
      <c r="E168" s="17"/>
      <c r="F168" s="17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1.25" customHeight="1" x14ac:dyDescent="0.25">
      <c r="A169" s="15"/>
      <c r="B169" s="211"/>
      <c r="C169" s="15"/>
      <c r="D169" s="17"/>
      <c r="E169" s="17"/>
      <c r="F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37.5" customHeight="1" x14ac:dyDescent="0.25">
      <c r="A170" s="602" t="s">
        <v>409</v>
      </c>
      <c r="B170" s="602"/>
      <c r="C170" s="602"/>
      <c r="D170" s="602"/>
      <c r="E170" s="602"/>
      <c r="F170" s="602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1.25" customHeight="1" x14ac:dyDescent="0.25">
      <c r="A171" s="15"/>
      <c r="B171" s="15"/>
      <c r="C171" s="15"/>
      <c r="D171" s="17"/>
      <c r="E171" s="17"/>
      <c r="F171" s="17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211" t="s">
        <v>268</v>
      </c>
      <c r="B172" s="15"/>
      <c r="C172" s="15"/>
      <c r="D172" s="17"/>
      <c r="E172" s="17"/>
      <c r="F172" s="1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284" t="s">
        <v>227</v>
      </c>
      <c r="B173" s="285" t="s">
        <v>98</v>
      </c>
      <c r="C173" s="285" t="s">
        <v>55</v>
      </c>
      <c r="D173" s="286" t="s">
        <v>228</v>
      </c>
      <c r="E173" s="286" t="s">
        <v>229</v>
      </c>
      <c r="F173" s="287" t="s">
        <v>230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289" t="s">
        <v>269</v>
      </c>
      <c r="B174" s="290" t="s">
        <v>255</v>
      </c>
      <c r="C174" s="290">
        <v>1</v>
      </c>
      <c r="D174" s="291">
        <f>'0. Qtdades e Custos'!N66</f>
        <v>0</v>
      </c>
      <c r="E174" s="292">
        <f>C174*D174</f>
        <v>0</v>
      </c>
      <c r="F174" s="17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293" t="s">
        <v>270</v>
      </c>
      <c r="B175" s="294" t="s">
        <v>271</v>
      </c>
      <c r="C175" s="321">
        <f>'0. Qtdades e Custos'!Q66</f>
        <v>7</v>
      </c>
      <c r="D175" s="295"/>
      <c r="E175" s="295"/>
      <c r="F175" s="17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293" t="s">
        <v>272</v>
      </c>
      <c r="B176" s="294" t="s">
        <v>271</v>
      </c>
      <c r="C176" s="299">
        <v>0</v>
      </c>
      <c r="D176" s="295"/>
      <c r="E176" s="295"/>
      <c r="F176" s="142"/>
      <c r="G176" s="17"/>
      <c r="H176" s="15"/>
      <c r="I176" s="213"/>
      <c r="J176" s="213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293" t="s">
        <v>273</v>
      </c>
      <c r="B177" s="294" t="s">
        <v>207</v>
      </c>
      <c r="C177" s="298">
        <f>IFERROR(VLOOKUP(C175,'9. Depreciação'!A3:B17,2,0),0)</f>
        <v>60.29</v>
      </c>
      <c r="D177" s="295">
        <f>E174</f>
        <v>0</v>
      </c>
      <c r="E177" s="295">
        <f>C177*D177/100</f>
        <v>0</v>
      </c>
      <c r="F177" s="17"/>
      <c r="G177" s="17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328" t="s">
        <v>274</v>
      </c>
      <c r="B178" s="329" t="s">
        <v>232</v>
      </c>
      <c r="C178" s="329">
        <f>C175*12</f>
        <v>84</v>
      </c>
      <c r="D178" s="330">
        <f>IF(C176&lt;=C175,E177,0)</f>
        <v>0</v>
      </c>
      <c r="E178" s="330">
        <f>IFERROR(D178/C178,0)</f>
        <v>0</v>
      </c>
      <c r="F178" s="17"/>
      <c r="G178" s="17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289" t="s">
        <v>410</v>
      </c>
      <c r="B179" s="290" t="s">
        <v>255</v>
      </c>
      <c r="C179" s="290">
        <f>C174</f>
        <v>1</v>
      </c>
      <c r="D179" s="291">
        <f>'0. Qtdades e Custos'!N67</f>
        <v>0</v>
      </c>
      <c r="E179" s="292">
        <f>C179*D179</f>
        <v>0</v>
      </c>
      <c r="F179" s="17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293" t="s">
        <v>56</v>
      </c>
      <c r="B180" s="294" t="s">
        <v>271</v>
      </c>
      <c r="C180" s="321">
        <f>C175</f>
        <v>7</v>
      </c>
      <c r="D180" s="295"/>
      <c r="E180" s="295"/>
      <c r="F180" s="17"/>
      <c r="G180" s="17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293" t="s">
        <v>411</v>
      </c>
      <c r="B181" s="294" t="s">
        <v>271</v>
      </c>
      <c r="C181" s="299">
        <v>0</v>
      </c>
      <c r="D181" s="295"/>
      <c r="E181" s="295"/>
      <c r="F181" s="142"/>
      <c r="G181" s="17"/>
      <c r="H181" s="15"/>
      <c r="I181" s="213"/>
      <c r="J181" s="213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293" t="s">
        <v>412</v>
      </c>
      <c r="B182" s="294" t="s">
        <v>207</v>
      </c>
      <c r="C182" s="372">
        <f>IFERROR(VLOOKUP(C180,'9. Depreciação'!A3:B17,2,0),0)</f>
        <v>60.29</v>
      </c>
      <c r="D182" s="295">
        <f>E179</f>
        <v>0</v>
      </c>
      <c r="E182" s="295">
        <f>C182*D182/100</f>
        <v>0</v>
      </c>
      <c r="F182" s="17"/>
      <c r="G182" s="17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81" t="s">
        <v>413</v>
      </c>
      <c r="B183" s="331" t="s">
        <v>232</v>
      </c>
      <c r="C183" s="331">
        <f>C180*12</f>
        <v>84</v>
      </c>
      <c r="D183" s="303">
        <f>IF(C181&lt;=C180,E182,0)</f>
        <v>0</v>
      </c>
      <c r="E183" s="303">
        <f>IFERROR(D183/C183,0)</f>
        <v>0</v>
      </c>
      <c r="F183" s="17"/>
      <c r="G183" s="17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296" t="s">
        <v>275</v>
      </c>
      <c r="B184" s="143"/>
      <c r="C184" s="143"/>
      <c r="D184" s="42"/>
      <c r="E184" s="297">
        <f>E178+E183</f>
        <v>0</v>
      </c>
      <c r="F184" s="17"/>
      <c r="G184" s="17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81" t="s">
        <v>276</v>
      </c>
      <c r="B185" s="331" t="s">
        <v>255</v>
      </c>
      <c r="C185" s="321">
        <f>'0. Qtdades e Custos'!P66</f>
        <v>2</v>
      </c>
      <c r="D185" s="303">
        <f>E184</f>
        <v>0</v>
      </c>
      <c r="E185" s="297">
        <f>C185*D185</f>
        <v>0</v>
      </c>
      <c r="F185" s="17"/>
      <c r="G185" s="17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214"/>
      <c r="B186" s="214"/>
      <c r="C186" s="214"/>
      <c r="D186" s="205" t="s">
        <v>239</v>
      </c>
      <c r="E186" s="300">
        <f>$B$51</f>
        <v>1</v>
      </c>
      <c r="F186" s="327">
        <f>E185*E186</f>
        <v>0</v>
      </c>
      <c r="G186" s="17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1.25" customHeight="1" x14ac:dyDescent="0.25">
      <c r="A187" s="15"/>
      <c r="B187" s="15"/>
      <c r="C187" s="15"/>
      <c r="D187" s="17"/>
      <c r="E187" s="17"/>
      <c r="F187" s="17"/>
      <c r="G187" s="17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211" t="s">
        <v>277</v>
      </c>
      <c r="B188" s="15"/>
      <c r="C188" s="15"/>
      <c r="D188" s="17"/>
      <c r="E188" s="17"/>
      <c r="F188" s="17"/>
      <c r="G188" s="17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284" t="s">
        <v>227</v>
      </c>
      <c r="B189" s="285" t="s">
        <v>98</v>
      </c>
      <c r="C189" s="285" t="s">
        <v>55</v>
      </c>
      <c r="D189" s="286" t="s">
        <v>228</v>
      </c>
      <c r="E189" s="286" t="s">
        <v>229</v>
      </c>
      <c r="F189" s="287" t="s">
        <v>230</v>
      </c>
      <c r="G189" s="17"/>
      <c r="H189" s="15"/>
      <c r="I189" s="213"/>
      <c r="J189" s="213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289" t="s">
        <v>278</v>
      </c>
      <c r="B190" s="290" t="s">
        <v>255</v>
      </c>
      <c r="C190" s="290">
        <v>1</v>
      </c>
      <c r="D190" s="292">
        <f>D174</f>
        <v>0</v>
      </c>
      <c r="E190" s="292">
        <f>C190*D190</f>
        <v>0</v>
      </c>
      <c r="F190" s="142"/>
      <c r="G190" s="17"/>
      <c r="H190" s="15"/>
      <c r="I190" s="213"/>
      <c r="J190" s="213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293" t="s">
        <v>279</v>
      </c>
      <c r="B191" s="294" t="s">
        <v>207</v>
      </c>
      <c r="C191" s="299">
        <v>14.75</v>
      </c>
      <c r="D191" s="295"/>
      <c r="E191" s="295"/>
      <c r="F191" s="142"/>
      <c r="G191" s="17"/>
      <c r="H191" s="15"/>
      <c r="I191" s="213"/>
      <c r="J191" s="213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293" t="s">
        <v>280</v>
      </c>
      <c r="B192" s="294" t="s">
        <v>250</v>
      </c>
      <c r="C192" s="295">
        <f>IFERROR(IF(C176&lt;=C175,E174-(C177/(100*C175)*C176)*E174,E174-E177),0)</f>
        <v>0</v>
      </c>
      <c r="D192" s="295"/>
      <c r="E192" s="295"/>
      <c r="F192" s="142"/>
      <c r="G192" s="17"/>
      <c r="H192" s="15"/>
      <c r="I192" s="213"/>
      <c r="J192" s="213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293" t="s">
        <v>281</v>
      </c>
      <c r="B193" s="294" t="s">
        <v>250</v>
      </c>
      <c r="C193" s="295">
        <f>IFERROR(IF(C176&gt;=C175,C192,((((C192)-(E174-E177))*(((C175-C176)+1)/(2*(C175-C176))))+(E174-E177))),0)</f>
        <v>0</v>
      </c>
      <c r="D193" s="295"/>
      <c r="E193" s="295"/>
      <c r="F193" s="142"/>
      <c r="G193" s="17"/>
      <c r="H193" s="15"/>
      <c r="I193" s="213"/>
      <c r="J193" s="213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328" t="s">
        <v>282</v>
      </c>
      <c r="B194" s="329" t="s">
        <v>250</v>
      </c>
      <c r="C194" s="329"/>
      <c r="D194" s="330">
        <f>C191*C193/12/100</f>
        <v>0</v>
      </c>
      <c r="E194" s="330">
        <f>D194</f>
        <v>0</v>
      </c>
      <c r="F194" s="142"/>
      <c r="G194" s="17"/>
      <c r="H194" s="15"/>
      <c r="I194" s="213"/>
      <c r="J194" s="213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289" t="s">
        <v>414</v>
      </c>
      <c r="B195" s="290" t="s">
        <v>255</v>
      </c>
      <c r="C195" s="290">
        <f>C179</f>
        <v>1</v>
      </c>
      <c r="D195" s="292">
        <f>D179</f>
        <v>0</v>
      </c>
      <c r="E195" s="292">
        <f>C195*D195</f>
        <v>0</v>
      </c>
      <c r="F195" s="142"/>
      <c r="G195" s="17"/>
      <c r="H195" s="15"/>
      <c r="I195" s="213"/>
      <c r="J195" s="213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293" t="s">
        <v>279</v>
      </c>
      <c r="B196" s="294" t="s">
        <v>207</v>
      </c>
      <c r="C196" s="294">
        <f>C191</f>
        <v>14.75</v>
      </c>
      <c r="D196" s="295"/>
      <c r="E196" s="295"/>
      <c r="F196" s="142"/>
      <c r="G196" s="17"/>
      <c r="H196" s="15"/>
      <c r="I196" s="213"/>
      <c r="J196" s="213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293" t="s">
        <v>415</v>
      </c>
      <c r="B197" s="294" t="s">
        <v>250</v>
      </c>
      <c r="C197" s="295">
        <f>IFERROR(IF(C181&lt;=C180,E179-(C182/(100*C180)*C181)*E179,E179-E182),0)</f>
        <v>0</v>
      </c>
      <c r="D197" s="295"/>
      <c r="E197" s="295"/>
      <c r="F197" s="142"/>
      <c r="G197" s="17"/>
      <c r="H197" s="15"/>
      <c r="I197" s="213"/>
      <c r="J197" s="213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293" t="s">
        <v>326</v>
      </c>
      <c r="B198" s="294" t="s">
        <v>250</v>
      </c>
      <c r="C198" s="295">
        <f>IFERROR(IF(C181&gt;=C180,C197,((((C197)-(E179-E182))*(((C180-C181)+1)/(2*(C180-C181))))+(E179-E182))),0)</f>
        <v>0</v>
      </c>
      <c r="D198" s="295"/>
      <c r="E198" s="295"/>
      <c r="F198" s="142"/>
      <c r="G198" s="17"/>
      <c r="H198" s="15"/>
      <c r="I198" s="213"/>
      <c r="J198" s="213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81" t="s">
        <v>416</v>
      </c>
      <c r="B199" s="331" t="s">
        <v>250</v>
      </c>
      <c r="C199" s="331"/>
      <c r="D199" s="303">
        <f>C196*C198/12/100</f>
        <v>0</v>
      </c>
      <c r="E199" s="303">
        <f>D199</f>
        <v>0</v>
      </c>
      <c r="F199" s="142"/>
      <c r="G199" s="17"/>
      <c r="H199" s="15"/>
      <c r="I199" s="213"/>
      <c r="J199" s="213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296" t="s">
        <v>275</v>
      </c>
      <c r="B200" s="143"/>
      <c r="C200" s="143"/>
      <c r="D200" s="42"/>
      <c r="E200" s="297">
        <f>E194+E199</f>
        <v>0</v>
      </c>
      <c r="F200" s="142"/>
      <c r="G200" s="17"/>
      <c r="H200" s="15"/>
      <c r="I200" s="213"/>
      <c r="J200" s="213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81" t="s">
        <v>276</v>
      </c>
      <c r="B201" s="331" t="s">
        <v>255</v>
      </c>
      <c r="C201" s="332">
        <f>C185</f>
        <v>2</v>
      </c>
      <c r="D201" s="303">
        <f>E200</f>
        <v>0</v>
      </c>
      <c r="E201" s="297">
        <f>C201*D201</f>
        <v>0</v>
      </c>
      <c r="F201" s="142"/>
      <c r="G201" s="17"/>
      <c r="H201" s="15"/>
      <c r="I201" s="213"/>
      <c r="J201" s="213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41"/>
      <c r="D202" s="205" t="s">
        <v>239</v>
      </c>
      <c r="E202" s="300">
        <f>$B$51</f>
        <v>1</v>
      </c>
      <c r="F202" s="327">
        <f>E201*E202</f>
        <v>0</v>
      </c>
      <c r="G202" s="17"/>
      <c r="H202" s="15"/>
      <c r="I202" s="213"/>
      <c r="J202" s="213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1.25" customHeight="1" x14ac:dyDescent="0.25">
      <c r="A203" s="15"/>
      <c r="B203" s="15"/>
      <c r="C203" s="15"/>
      <c r="D203" s="17"/>
      <c r="E203" s="17"/>
      <c r="F203" s="17"/>
      <c r="G203" s="17"/>
      <c r="H203" s="15"/>
      <c r="I203" s="213"/>
      <c r="J203" s="213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 t="s">
        <v>283</v>
      </c>
      <c r="B204" s="15"/>
      <c r="C204" s="15"/>
      <c r="D204" s="17"/>
      <c r="E204" s="17"/>
      <c r="F204" s="17"/>
      <c r="G204" s="17"/>
      <c r="H204" s="15"/>
      <c r="I204" s="213"/>
      <c r="J204" s="213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284" t="s">
        <v>227</v>
      </c>
      <c r="B205" s="285" t="s">
        <v>98</v>
      </c>
      <c r="C205" s="285" t="s">
        <v>55</v>
      </c>
      <c r="D205" s="286" t="s">
        <v>228</v>
      </c>
      <c r="E205" s="286" t="s">
        <v>229</v>
      </c>
      <c r="F205" s="287" t="s">
        <v>230</v>
      </c>
      <c r="G205" s="17"/>
      <c r="H205" s="15"/>
      <c r="I205" s="213"/>
      <c r="J205" s="213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289" t="s">
        <v>284</v>
      </c>
      <c r="B206" s="290" t="s">
        <v>255</v>
      </c>
      <c r="C206" s="292">
        <f>C185</f>
        <v>2</v>
      </c>
      <c r="D206" s="292">
        <f>0.01*($E$174)</f>
        <v>0</v>
      </c>
      <c r="E206" s="292">
        <f>C206*D206</f>
        <v>0</v>
      </c>
      <c r="F206" s="17"/>
      <c r="G206" s="17"/>
      <c r="H206" s="15"/>
      <c r="I206" s="213"/>
      <c r="J206" s="213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293" t="s">
        <v>285</v>
      </c>
      <c r="B207" s="294" t="s">
        <v>255</v>
      </c>
      <c r="C207" s="292">
        <f>C185</f>
        <v>2</v>
      </c>
      <c r="D207" s="313"/>
      <c r="E207" s="295">
        <f>C207*D207</f>
        <v>0</v>
      </c>
      <c r="F207" s="17"/>
      <c r="G207" s="17"/>
      <c r="H207" s="15"/>
      <c r="I207" s="213"/>
      <c r="J207" s="213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293" t="s">
        <v>286</v>
      </c>
      <c r="B208" s="294" t="s">
        <v>255</v>
      </c>
      <c r="C208" s="292">
        <f>C185</f>
        <v>2</v>
      </c>
      <c r="D208" s="313"/>
      <c r="E208" s="295">
        <f>C208*D208</f>
        <v>0</v>
      </c>
      <c r="F208" s="42"/>
      <c r="G208" s="17"/>
      <c r="H208" s="15"/>
      <c r="I208" s="213"/>
      <c r="J208" s="213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81" t="s">
        <v>287</v>
      </c>
      <c r="B209" s="331" t="s">
        <v>232</v>
      </c>
      <c r="C209" s="331">
        <v>12</v>
      </c>
      <c r="D209" s="303">
        <f>SUM(E206:E208)</f>
        <v>0</v>
      </c>
      <c r="E209" s="303">
        <f>D209/C209</f>
        <v>0</v>
      </c>
      <c r="F209" s="17"/>
      <c r="G209" s="17"/>
      <c r="H209" s="15"/>
      <c r="I209" s="213"/>
      <c r="J209" s="213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205" t="s">
        <v>239</v>
      </c>
      <c r="E210" s="300">
        <f>$B$51</f>
        <v>1</v>
      </c>
      <c r="F210" s="301">
        <f>E209*E210</f>
        <v>0</v>
      </c>
      <c r="G210" s="17"/>
      <c r="H210" s="15"/>
      <c r="I210" s="213"/>
      <c r="J210" s="213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1.25" customHeight="1" x14ac:dyDescent="0.25">
      <c r="A211" s="15"/>
      <c r="B211" s="15"/>
      <c r="C211" s="15"/>
      <c r="D211" s="17"/>
      <c r="E211" s="17"/>
      <c r="F211" s="17"/>
      <c r="G211" s="17"/>
      <c r="H211" s="15"/>
      <c r="I211" s="213"/>
      <c r="J211" s="213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 t="s">
        <v>288</v>
      </c>
      <c r="B212" s="215"/>
      <c r="C212" s="15"/>
      <c r="D212" s="17"/>
      <c r="E212" s="17"/>
      <c r="F212" s="17"/>
      <c r="G212" s="17"/>
      <c r="H212" s="15"/>
      <c r="I212" s="213"/>
      <c r="J212" s="213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215"/>
      <c r="C213" s="15"/>
      <c r="D213" s="17"/>
      <c r="E213" s="17"/>
      <c r="F213" s="17"/>
      <c r="G213" s="17"/>
      <c r="H213" s="15"/>
      <c r="I213" s="213"/>
      <c r="J213" s="213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81" t="s">
        <v>289</v>
      </c>
      <c r="B214" s="333">
        <f>'0. Qtdades e Custos'!D6</f>
        <v>5100</v>
      </c>
      <c r="C214" s="15"/>
      <c r="D214" s="17"/>
      <c r="E214" s="17"/>
      <c r="F214" s="17"/>
      <c r="G214" s="17"/>
      <c r="H214" s="15"/>
      <c r="I214" s="213"/>
      <c r="J214" s="213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334" t="s">
        <v>290</v>
      </c>
      <c r="B215" s="335">
        <f>'0. Qtdades e Custos'!Y66</f>
        <v>0</v>
      </c>
      <c r="C215" s="15"/>
      <c r="D215" s="17"/>
      <c r="E215" s="17"/>
      <c r="F215" s="17"/>
      <c r="G215" s="17"/>
      <c r="H215" s="15"/>
      <c r="I215" s="213"/>
      <c r="J215" s="213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215"/>
      <c r="C216" s="15"/>
      <c r="D216" s="17"/>
      <c r="E216" s="17"/>
      <c r="F216" s="17"/>
      <c r="G216" s="17"/>
      <c r="H216" s="15"/>
      <c r="I216" s="213"/>
      <c r="J216" s="213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284" t="s">
        <v>227</v>
      </c>
      <c r="B217" s="285" t="s">
        <v>98</v>
      </c>
      <c r="C217" s="285" t="s">
        <v>291</v>
      </c>
      <c r="D217" s="286" t="s">
        <v>228</v>
      </c>
      <c r="E217" s="286" t="s">
        <v>229</v>
      </c>
      <c r="F217" s="287" t="s">
        <v>230</v>
      </c>
      <c r="G217" s="17"/>
      <c r="H217" s="15"/>
      <c r="I217" s="213"/>
      <c r="J217" s="213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293" t="s">
        <v>292</v>
      </c>
      <c r="B218" s="290" t="s">
        <v>293</v>
      </c>
      <c r="C218" s="336">
        <f>B215</f>
        <v>0</v>
      </c>
      <c r="D218" s="337"/>
      <c r="E218" s="292"/>
      <c r="F218" s="17"/>
      <c r="G218" s="17"/>
      <c r="H218" s="15"/>
      <c r="I218" s="213"/>
      <c r="J218" s="213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334" t="s">
        <v>294</v>
      </c>
      <c r="B219" s="290" t="s">
        <v>295</v>
      </c>
      <c r="C219" s="307">
        <f>C218</f>
        <v>0</v>
      </c>
      <c r="D219" s="338"/>
      <c r="E219" s="295">
        <f>C219*D218</f>
        <v>0</v>
      </c>
      <c r="F219" s="17"/>
      <c r="G219" s="17"/>
      <c r="H219" s="15"/>
      <c r="I219" s="213"/>
      <c r="J219" s="213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7"/>
      <c r="E220" s="17"/>
      <c r="F220" s="327">
        <f>SUM(E218:E219)</f>
        <v>0</v>
      </c>
      <c r="G220" s="17"/>
      <c r="H220" s="15"/>
      <c r="I220" s="213"/>
      <c r="J220" s="213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1.25" customHeight="1" x14ac:dyDescent="0.25">
      <c r="A221" s="15"/>
      <c r="B221" s="15"/>
      <c r="C221" s="15"/>
      <c r="D221" s="17"/>
      <c r="E221" s="17"/>
      <c r="F221" s="17"/>
      <c r="G221" s="17"/>
      <c r="H221" s="15"/>
      <c r="I221" s="213"/>
      <c r="J221" s="213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 t="s">
        <v>296</v>
      </c>
      <c r="B222" s="15"/>
      <c r="C222" s="15"/>
      <c r="D222" s="17"/>
      <c r="E222" s="17"/>
      <c r="F222" s="17"/>
      <c r="G222" s="17"/>
      <c r="H222" s="15"/>
      <c r="I222" s="213"/>
      <c r="J222" s="213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284" t="s">
        <v>227</v>
      </c>
      <c r="B223" s="285" t="s">
        <v>98</v>
      </c>
      <c r="C223" s="285" t="s">
        <v>55</v>
      </c>
      <c r="D223" s="286" t="s">
        <v>228</v>
      </c>
      <c r="E223" s="286" t="s">
        <v>229</v>
      </c>
      <c r="F223" s="287" t="s">
        <v>230</v>
      </c>
      <c r="G223" s="17"/>
      <c r="H223" s="15"/>
      <c r="I223" s="213"/>
      <c r="J223" s="213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289" t="s">
        <v>375</v>
      </c>
      <c r="B224" s="290" t="s">
        <v>334</v>
      </c>
      <c r="C224" s="332">
        <f>'0. Qtdades e Custos'!S66/('0. Qtdades e Custos'!Q66*12)</f>
        <v>1.0714285714285714E-2</v>
      </c>
      <c r="D224" s="291">
        <f>'0. Qtdades e Custos'!N66</f>
        <v>0</v>
      </c>
      <c r="E224" s="292">
        <f>C224*D224</f>
        <v>0</v>
      </c>
      <c r="F224" s="17"/>
      <c r="G224" s="17"/>
      <c r="H224" s="15"/>
      <c r="I224" s="213"/>
      <c r="J224" s="213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7"/>
      <c r="E225" s="17"/>
      <c r="F225" s="327">
        <f>E224</f>
        <v>0</v>
      </c>
      <c r="G225" s="17"/>
      <c r="H225" s="15"/>
      <c r="I225" s="213"/>
      <c r="J225" s="213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1.25" customHeight="1" x14ac:dyDescent="0.25">
      <c r="A226" s="15"/>
      <c r="B226" s="15"/>
      <c r="C226" s="15"/>
      <c r="D226" s="17"/>
      <c r="E226" s="17"/>
      <c r="F226" s="17"/>
      <c r="G226" s="17"/>
      <c r="H226" s="15"/>
      <c r="I226" s="213"/>
      <c r="J226" s="213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 t="s">
        <v>300</v>
      </c>
      <c r="B227" s="15"/>
      <c r="C227" s="15"/>
      <c r="D227" s="17"/>
      <c r="E227" s="17"/>
      <c r="F227" s="17"/>
      <c r="G227" s="17"/>
      <c r="H227" s="15"/>
      <c r="I227" s="213"/>
      <c r="J227" s="213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284" t="s">
        <v>227</v>
      </c>
      <c r="B228" s="285" t="s">
        <v>98</v>
      </c>
      <c r="C228" s="285" t="s">
        <v>55</v>
      </c>
      <c r="D228" s="286" t="s">
        <v>228</v>
      </c>
      <c r="E228" s="286" t="s">
        <v>229</v>
      </c>
      <c r="F228" s="287" t="s">
        <v>230</v>
      </c>
      <c r="G228" s="17"/>
      <c r="H228" s="15"/>
      <c r="I228" s="213"/>
      <c r="J228" s="213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289" t="s">
        <v>301</v>
      </c>
      <c r="B229" s="290" t="s">
        <v>255</v>
      </c>
      <c r="C229" s="341">
        <v>6</v>
      </c>
      <c r="D229" s="291"/>
      <c r="E229" s="292">
        <f>C229*D229</f>
        <v>0</v>
      </c>
      <c r="F229" s="17"/>
      <c r="G229" s="17"/>
      <c r="H229" s="15"/>
      <c r="I229" s="213"/>
      <c r="J229" s="213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289" t="s">
        <v>302</v>
      </c>
      <c r="B230" s="290" t="s">
        <v>255</v>
      </c>
      <c r="C230" s="341">
        <v>1</v>
      </c>
      <c r="D230" s="292"/>
      <c r="E230" s="292"/>
      <c r="F230" s="17"/>
      <c r="G230" s="17"/>
      <c r="H230" s="15"/>
      <c r="I230" s="213"/>
      <c r="J230" s="213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289" t="s">
        <v>303</v>
      </c>
      <c r="B231" s="290" t="s">
        <v>255</v>
      </c>
      <c r="C231" s="292">
        <f>C229*C230</f>
        <v>6</v>
      </c>
      <c r="D231" s="291"/>
      <c r="E231" s="292">
        <f>C231*D231</f>
        <v>0</v>
      </c>
      <c r="F231" s="17"/>
      <c r="G231" s="17"/>
      <c r="H231" s="15"/>
      <c r="I231" s="213"/>
      <c r="J231" s="213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293" t="s">
        <v>304</v>
      </c>
      <c r="B232" s="294" t="s">
        <v>305</v>
      </c>
      <c r="C232" s="342">
        <v>60000</v>
      </c>
      <c r="D232" s="295">
        <f>E229+E231</f>
        <v>0</v>
      </c>
      <c r="E232" s="295">
        <f>IFERROR(D232/C232,"-")</f>
        <v>0</v>
      </c>
      <c r="F232" s="17"/>
      <c r="G232" s="17"/>
      <c r="H232" s="15"/>
      <c r="I232" s="213"/>
      <c r="J232" s="213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293" t="s">
        <v>306</v>
      </c>
      <c r="B233" s="294" t="s">
        <v>307</v>
      </c>
      <c r="C233" s="307">
        <f>B214</f>
        <v>5100</v>
      </c>
      <c r="D233" s="295">
        <f>E232</f>
        <v>0</v>
      </c>
      <c r="E233" s="295">
        <f>IFERROR(C233*D233,0)</f>
        <v>0</v>
      </c>
      <c r="F233" s="17"/>
      <c r="G233" s="17"/>
      <c r="H233" s="15"/>
      <c r="I233" s="213"/>
      <c r="J233" s="213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7"/>
      <c r="E234" s="17"/>
      <c r="F234" s="327">
        <f>E233</f>
        <v>0</v>
      </c>
      <c r="G234" s="17"/>
      <c r="H234" s="15"/>
      <c r="I234" s="213"/>
      <c r="J234" s="213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1.25" customHeight="1" x14ac:dyDescent="0.25">
      <c r="A235" s="15"/>
      <c r="B235" s="15"/>
      <c r="C235" s="15"/>
      <c r="D235" s="17"/>
      <c r="E235" s="17"/>
      <c r="F235" s="17"/>
      <c r="G235" s="17"/>
      <c r="H235" s="15"/>
      <c r="I235" s="213"/>
      <c r="J235" s="213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1.25" customHeight="1" x14ac:dyDescent="0.25">
      <c r="A236" s="15" t="s">
        <v>308</v>
      </c>
      <c r="B236" s="15"/>
      <c r="C236" s="15"/>
      <c r="D236" s="17"/>
      <c r="E236" s="17"/>
      <c r="F236" s="17"/>
      <c r="G236" s="17"/>
      <c r="H236" s="15"/>
      <c r="I236" s="213"/>
      <c r="J236" s="213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1.25" customHeight="1" x14ac:dyDescent="0.25">
      <c r="A237" s="343" t="s">
        <v>227</v>
      </c>
      <c r="B237" s="344" t="s">
        <v>98</v>
      </c>
      <c r="C237" s="344" t="s">
        <v>55</v>
      </c>
      <c r="D237" s="345" t="s">
        <v>228</v>
      </c>
      <c r="E237" s="345" t="s">
        <v>229</v>
      </c>
      <c r="F237" s="346" t="s">
        <v>230</v>
      </c>
      <c r="G237" s="17"/>
      <c r="H237" s="15"/>
      <c r="I237" s="213"/>
      <c r="J237" s="213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1.25" customHeight="1" x14ac:dyDescent="0.25">
      <c r="A238" s="293" t="s">
        <v>192</v>
      </c>
      <c r="B238" s="294" t="s">
        <v>255</v>
      </c>
      <c r="C238" s="293">
        <v>1</v>
      </c>
      <c r="D238" s="300"/>
      <c r="E238" s="300">
        <f>(C238*D238)</f>
        <v>0</v>
      </c>
      <c r="F238" s="300">
        <f>E238*30</f>
        <v>0</v>
      </c>
      <c r="G238" s="17"/>
      <c r="H238" s="15"/>
      <c r="I238" s="213"/>
      <c r="J238" s="213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1.25" customHeight="1" x14ac:dyDescent="0.25">
      <c r="A239" s="15"/>
      <c r="B239" s="15"/>
      <c r="C239" s="15"/>
      <c r="D239" s="17"/>
      <c r="E239" s="17"/>
      <c r="F239" s="17"/>
      <c r="G239" s="17"/>
      <c r="H239" s="15"/>
      <c r="I239" s="213"/>
      <c r="J239" s="213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1.25" customHeight="1" x14ac:dyDescent="0.25">
      <c r="A240" s="15"/>
      <c r="B240" s="15"/>
      <c r="C240" s="15"/>
      <c r="D240" s="17"/>
      <c r="E240" s="17"/>
      <c r="F240" s="17"/>
      <c r="G240" s="17"/>
      <c r="H240" s="15"/>
      <c r="I240" s="213"/>
      <c r="J240" s="213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1.25" customHeight="1" x14ac:dyDescent="0.25">
      <c r="A241" s="15" t="s">
        <v>309</v>
      </c>
      <c r="B241" s="15"/>
      <c r="C241" s="15"/>
      <c r="D241" s="17"/>
      <c r="E241" s="17"/>
      <c r="F241" s="17"/>
      <c r="G241" s="17"/>
      <c r="H241" s="15"/>
      <c r="I241" s="213"/>
      <c r="J241" s="213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1.25" customHeight="1" x14ac:dyDescent="0.25">
      <c r="A242" s="343" t="s">
        <v>227</v>
      </c>
      <c r="B242" s="344" t="s">
        <v>98</v>
      </c>
      <c r="C242" s="344" t="s">
        <v>55</v>
      </c>
      <c r="D242" s="345" t="s">
        <v>228</v>
      </c>
      <c r="E242" s="345" t="s">
        <v>229</v>
      </c>
      <c r="F242" s="346" t="s">
        <v>230</v>
      </c>
      <c r="G242" s="17"/>
      <c r="H242" s="15"/>
      <c r="I242" s="213"/>
      <c r="J242" s="213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1.25" customHeight="1" x14ac:dyDescent="0.25">
      <c r="A243" s="293" t="s">
        <v>417</v>
      </c>
      <c r="B243" s="294" t="s">
        <v>255</v>
      </c>
      <c r="C243" s="293">
        <v>171.87</v>
      </c>
      <c r="D243" s="300" t="e">
        <f>'0. Qtdades e Custos'!G217</f>
        <v>#DIV/0!</v>
      </c>
      <c r="E243" s="300" t="e">
        <f>(C243*D243)</f>
        <v>#DIV/0!</v>
      </c>
      <c r="F243" s="300" t="e">
        <f>E243</f>
        <v>#DIV/0!</v>
      </c>
      <c r="G243" s="17"/>
      <c r="H243" s="15"/>
      <c r="I243" s="213"/>
      <c r="J243" s="213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1.25" customHeight="1" x14ac:dyDescent="0.25">
      <c r="A244" s="15"/>
      <c r="B244" s="15"/>
      <c r="C244" s="15"/>
      <c r="D244" s="17"/>
      <c r="E244" s="17"/>
      <c r="F244" s="17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1.25" customHeight="1" x14ac:dyDescent="0.25">
      <c r="A245" s="189" t="s">
        <v>311</v>
      </c>
      <c r="B245" s="189"/>
      <c r="C245" s="189"/>
      <c r="D245" s="397"/>
      <c r="E245" s="397"/>
      <c r="F245" s="39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1.25" customHeight="1" x14ac:dyDescent="0.25">
      <c r="A246" s="398" t="s">
        <v>227</v>
      </c>
      <c r="B246" s="399" t="s">
        <v>98</v>
      </c>
      <c r="C246" s="399" t="s">
        <v>55</v>
      </c>
      <c r="D246" s="400" t="s">
        <v>228</v>
      </c>
      <c r="E246" s="400" t="s">
        <v>229</v>
      </c>
      <c r="F246" s="401" t="s">
        <v>312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1.25" customHeight="1" x14ac:dyDescent="0.25">
      <c r="A247" s="402" t="s">
        <v>313</v>
      </c>
      <c r="B247" s="195" t="s">
        <v>314</v>
      </c>
      <c r="C247" s="195">
        <v>2</v>
      </c>
      <c r="D247" s="403">
        <f>'0. Qtdades e Custos'!D225</f>
        <v>0</v>
      </c>
      <c r="E247" s="404">
        <f>D247*C247</f>
        <v>0</v>
      </c>
      <c r="F247" s="188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1.25" customHeight="1" x14ac:dyDescent="0.25">
      <c r="A248" s="402" t="s">
        <v>315</v>
      </c>
      <c r="B248" s="195" t="s">
        <v>232</v>
      </c>
      <c r="C248" s="195">
        <v>60</v>
      </c>
      <c r="D248" s="404">
        <f>D247</f>
        <v>0</v>
      </c>
      <c r="E248" s="404">
        <f>D248/C248</f>
        <v>0</v>
      </c>
      <c r="F248" s="188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1.25" customHeight="1" x14ac:dyDescent="0.25">
      <c r="A249" s="402" t="s">
        <v>316</v>
      </c>
      <c r="B249" s="195" t="s">
        <v>317</v>
      </c>
      <c r="C249" s="195">
        <v>2</v>
      </c>
      <c r="D249" s="403">
        <f>'0. Qtdades e Custos'!D226</f>
        <v>0</v>
      </c>
      <c r="E249" s="404">
        <f>D249*C249</f>
        <v>0</v>
      </c>
      <c r="F249" s="188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1.25" customHeight="1" x14ac:dyDescent="0.25">
      <c r="A250" s="405" t="s">
        <v>318</v>
      </c>
      <c r="B250" s="406"/>
      <c r="C250" s="407"/>
      <c r="D250" s="408"/>
      <c r="E250" s="409">
        <f>E249+E248</f>
        <v>0</v>
      </c>
      <c r="F250" s="188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1.25" customHeight="1" x14ac:dyDescent="0.25">
      <c r="A251" s="189"/>
      <c r="B251" s="189"/>
      <c r="C251" s="189"/>
      <c r="D251" s="410" t="s">
        <v>239</v>
      </c>
      <c r="E251" s="411">
        <v>1</v>
      </c>
      <c r="F251" s="412">
        <f>(E250)*E251</f>
        <v>0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1.25" customHeight="1" x14ac:dyDescent="0.25">
      <c r="A252" s="189"/>
      <c r="B252" s="189"/>
      <c r="C252" s="189"/>
      <c r="D252" s="397"/>
      <c r="E252" s="397"/>
      <c r="F252" s="397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1.25" customHeight="1" x14ac:dyDescent="0.25">
      <c r="A253" s="413" t="s">
        <v>319</v>
      </c>
      <c r="B253" s="414"/>
      <c r="C253" s="414"/>
      <c r="D253" s="415"/>
      <c r="E253" s="416"/>
      <c r="F253" s="417">
        <f>F251</f>
        <v>0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1.25" customHeight="1" x14ac:dyDescent="0.25">
      <c r="A254" s="15"/>
      <c r="B254" s="15"/>
      <c r="C254" s="15"/>
      <c r="D254" s="17"/>
      <c r="E254" s="17"/>
      <c r="F254" s="1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1.25" customHeight="1" x14ac:dyDescent="0.25">
      <c r="A255" s="15"/>
      <c r="B255" s="15"/>
      <c r="C255" s="15"/>
      <c r="D255" s="17"/>
      <c r="E255" s="17"/>
      <c r="F255" s="1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316" t="s">
        <v>387</v>
      </c>
      <c r="B256" s="317"/>
      <c r="C256" s="317"/>
      <c r="D256" s="257"/>
      <c r="E256" s="318"/>
      <c r="F256" s="327" t="e">
        <f>+SUM(F174:F255)</f>
        <v>#DIV/0!</v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1.25" customHeight="1" x14ac:dyDescent="0.25">
      <c r="A257" s="15"/>
      <c r="B257" s="15"/>
      <c r="C257" s="15"/>
      <c r="D257" s="17"/>
      <c r="E257" s="17"/>
      <c r="F257" s="1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44" t="s">
        <v>388</v>
      </c>
      <c r="B258" s="44"/>
      <c r="C258" s="44"/>
      <c r="D258" s="43"/>
      <c r="E258" s="43"/>
      <c r="F258" s="42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1.25" customHeight="1" x14ac:dyDescent="0.25">
      <c r="A259" s="15"/>
      <c r="B259" s="15"/>
      <c r="C259" s="15"/>
      <c r="D259" s="17"/>
      <c r="E259" s="17"/>
      <c r="F259" s="1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284" t="s">
        <v>227</v>
      </c>
      <c r="B260" s="285" t="s">
        <v>98</v>
      </c>
      <c r="C260" s="285" t="s">
        <v>55</v>
      </c>
      <c r="D260" s="286" t="s">
        <v>228</v>
      </c>
      <c r="E260" s="286" t="s">
        <v>229</v>
      </c>
      <c r="F260" s="287" t="s">
        <v>230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5.5" customHeight="1" x14ac:dyDescent="0.25">
      <c r="A261" s="314" t="s">
        <v>109</v>
      </c>
      <c r="B261" s="294" t="s">
        <v>255</v>
      </c>
      <c r="C261" s="388">
        <f>'0. Qtdades e Custos'!H87</f>
        <v>39.333333333333336</v>
      </c>
      <c r="D261" s="291">
        <f>VLOOKUP(A261,'0. Qtdades e Custos'!$C$87:$J$90,8,0)</f>
        <v>0</v>
      </c>
      <c r="E261" s="295">
        <f>C261*D261</f>
        <v>0</v>
      </c>
      <c r="F261" s="142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293" t="s">
        <v>110</v>
      </c>
      <c r="B262" s="294" t="s">
        <v>255</v>
      </c>
      <c r="C262" s="388">
        <f>'0. Qtdades e Custos'!H88</f>
        <v>14</v>
      </c>
      <c r="D262" s="291">
        <f>VLOOKUP(A262,'0. Qtdades e Custos'!$C$87:$J$90,8,0)</f>
        <v>0</v>
      </c>
      <c r="E262" s="295">
        <f>C262*D262</f>
        <v>0</v>
      </c>
      <c r="F262" s="142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293" t="s">
        <v>111</v>
      </c>
      <c r="B263" s="294" t="s">
        <v>255</v>
      </c>
      <c r="C263" s="388">
        <f>'0. Qtdades e Custos'!H89</f>
        <v>7250</v>
      </c>
      <c r="D263" s="291">
        <f>VLOOKUP(A263,'0. Qtdades e Custos'!$C$87:$J$90,8,0)</f>
        <v>0</v>
      </c>
      <c r="E263" s="295">
        <f>C263*D263</f>
        <v>0</v>
      </c>
      <c r="F263" s="142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293" t="s">
        <v>113</v>
      </c>
      <c r="B264" s="294" t="s">
        <v>255</v>
      </c>
      <c r="C264" s="388">
        <f>'0. Qtdades e Custos'!H90</f>
        <v>2.3333333333333335</v>
      </c>
      <c r="D264" s="291">
        <f>VLOOKUP(A264,'0. Qtdades e Custos'!$C$87:$J$90,8,0)</f>
        <v>0</v>
      </c>
      <c r="E264" s="295">
        <f>C264*D264</f>
        <v>0</v>
      </c>
      <c r="F264" s="14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44"/>
      <c r="B265" s="44"/>
      <c r="C265" s="44"/>
      <c r="D265" s="44"/>
      <c r="E265" s="43"/>
      <c r="F265" s="327">
        <f>SUM(E261:E264)</f>
        <v>0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1.25" customHeight="1" x14ac:dyDescent="0.25">
      <c r="A266" s="15"/>
      <c r="B266" s="15"/>
      <c r="C266" s="15"/>
      <c r="D266" s="17"/>
      <c r="E266" s="17"/>
      <c r="F266" s="1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316" t="s">
        <v>389</v>
      </c>
      <c r="B267" s="317"/>
      <c r="C267" s="317"/>
      <c r="D267" s="257"/>
      <c r="E267" s="318"/>
      <c r="F267" s="327">
        <f>+F265</f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1.25" customHeight="1" x14ac:dyDescent="0.25">
      <c r="A268" s="15"/>
      <c r="B268" s="15"/>
      <c r="C268" s="15"/>
      <c r="D268" s="17"/>
      <c r="E268" s="17"/>
      <c r="F268" s="17"/>
      <c r="G268" s="17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7.25" customHeight="1" x14ac:dyDescent="0.25">
      <c r="A269" s="316" t="s">
        <v>390</v>
      </c>
      <c r="B269" s="324"/>
      <c r="C269" s="324"/>
      <c r="D269" s="325"/>
      <c r="E269" s="326"/>
      <c r="F269" s="312" t="e">
        <v>#VALUE!</v>
      </c>
      <c r="G269" s="17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1.25" customHeight="1" x14ac:dyDescent="0.25">
      <c r="A270" s="15"/>
      <c r="B270" s="15"/>
      <c r="C270" s="15"/>
      <c r="D270" s="17"/>
      <c r="E270" s="17"/>
      <c r="F270" s="17"/>
      <c r="G270" s="17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44" t="s">
        <v>391</v>
      </c>
      <c r="B271" s="15"/>
      <c r="C271" s="15"/>
      <c r="D271" s="17"/>
      <c r="E271" s="17"/>
      <c r="F271" s="17"/>
      <c r="G271" s="17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1.25" customHeight="1" x14ac:dyDescent="0.25">
      <c r="A272" s="15"/>
      <c r="B272" s="15"/>
      <c r="C272" s="15"/>
      <c r="D272" s="17"/>
      <c r="E272" s="17"/>
      <c r="F272" s="17"/>
      <c r="G272" s="17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284" t="s">
        <v>227</v>
      </c>
      <c r="B273" s="285" t="s">
        <v>98</v>
      </c>
      <c r="C273" s="285" t="s">
        <v>55</v>
      </c>
      <c r="D273" s="286" t="s">
        <v>228</v>
      </c>
      <c r="E273" s="286" t="s">
        <v>229</v>
      </c>
      <c r="F273" s="287" t="s">
        <v>230</v>
      </c>
      <c r="G273" s="17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289" t="s">
        <v>392</v>
      </c>
      <c r="B274" s="290" t="s">
        <v>207</v>
      </c>
      <c r="C274" s="298">
        <f>'8. BDI'!C20*100</f>
        <v>24.84</v>
      </c>
      <c r="D274" s="292" t="e">
        <f>+F269</f>
        <v>#VALUE!</v>
      </c>
      <c r="E274" s="292" t="e">
        <f>C274*D274/100</f>
        <v>#VALUE!</v>
      </c>
      <c r="F274" s="17"/>
      <c r="G274" s="17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7"/>
      <c r="E275" s="17"/>
      <c r="F275" s="327" t="e">
        <f>+E274</f>
        <v>#VALUE!</v>
      </c>
      <c r="G275" s="17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1.25" customHeight="1" x14ac:dyDescent="0.25">
      <c r="A276" s="15"/>
      <c r="B276" s="15"/>
      <c r="C276" s="15"/>
      <c r="D276" s="17"/>
      <c r="E276" s="17"/>
      <c r="F276" s="17"/>
      <c r="G276" s="17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316" t="s">
        <v>393</v>
      </c>
      <c r="B277" s="324"/>
      <c r="C277" s="324"/>
      <c r="D277" s="325"/>
      <c r="E277" s="326"/>
      <c r="F277" s="312" t="e">
        <f>F275</f>
        <v>#VALUE!</v>
      </c>
      <c r="G277" s="17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44"/>
      <c r="B278" s="44"/>
      <c r="C278" s="44"/>
      <c r="D278" s="43"/>
      <c r="E278" s="43"/>
      <c r="F278" s="42"/>
      <c r="G278" s="17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44" t="s">
        <v>394</v>
      </c>
      <c r="B279" s="44"/>
      <c r="C279" s="44"/>
      <c r="D279" s="43"/>
      <c r="E279" s="43"/>
      <c r="F279" s="42"/>
      <c r="G279" s="17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44"/>
      <c r="B280" s="44"/>
      <c r="C280" s="44"/>
      <c r="D280" s="43"/>
      <c r="E280" s="43"/>
      <c r="F280" s="42"/>
      <c r="G280" s="17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389" t="s">
        <v>395</v>
      </c>
      <c r="B281" s="283">
        <v>0.2</v>
      </c>
      <c r="C281" s="44"/>
      <c r="D281" s="43"/>
      <c r="E281" s="43"/>
      <c r="F281" s="42"/>
      <c r="G281" s="17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390" t="s">
        <v>396</v>
      </c>
      <c r="B282" s="317"/>
      <c r="C282" s="317"/>
      <c r="D282" s="257"/>
      <c r="E282" s="318"/>
      <c r="F282" s="327">
        <f>'5. Equipe Técnica'!F323</f>
        <v>0</v>
      </c>
      <c r="G282" s="17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44"/>
      <c r="B283" s="44"/>
      <c r="C283" s="44"/>
      <c r="D283" s="43"/>
      <c r="E283" s="43"/>
      <c r="F283" s="42"/>
      <c r="G283" s="17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316" t="s">
        <v>397</v>
      </c>
      <c r="B284" s="324"/>
      <c r="C284" s="324"/>
      <c r="D284" s="325"/>
      <c r="E284" s="326"/>
      <c r="F284" s="312">
        <f>B281*F282</f>
        <v>0</v>
      </c>
      <c r="G284" s="17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44"/>
      <c r="B285" s="15"/>
      <c r="C285" s="15"/>
      <c r="D285" s="17"/>
      <c r="E285" s="17"/>
      <c r="F285" s="42"/>
      <c r="G285" s="17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1.25" customHeight="1" x14ac:dyDescent="0.25">
      <c r="A286" s="15"/>
      <c r="B286" s="15"/>
      <c r="C286" s="15"/>
      <c r="D286" s="17"/>
      <c r="E286" s="17"/>
      <c r="F286" s="17"/>
      <c r="G286" s="17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4.75" customHeight="1" x14ac:dyDescent="0.25">
      <c r="A287" s="316" t="s">
        <v>398</v>
      </c>
      <c r="B287" s="324"/>
      <c r="C287" s="324"/>
      <c r="D287" s="325"/>
      <c r="E287" s="326"/>
      <c r="F287" s="312" t="e">
        <f>F269+F277+F284</f>
        <v>#VALUE!</v>
      </c>
      <c r="G287" s="17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" customHeight="1" x14ac:dyDescent="0.25">
      <c r="A288" s="16"/>
      <c r="B288" s="16"/>
      <c r="C288" s="16"/>
      <c r="D288" s="228"/>
      <c r="E288" s="228"/>
      <c r="F288" s="228"/>
      <c r="G288" s="17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391" t="s">
        <v>418</v>
      </c>
      <c r="B289" s="392"/>
      <c r="C289" s="392"/>
      <c r="D289" s="393">
        <f>'0. Qtdades e Custos'!D6</f>
        <v>5100</v>
      </c>
      <c r="E289" s="394" t="s">
        <v>6</v>
      </c>
      <c r="F289" s="17"/>
      <c r="G289" s="17" t="s">
        <v>193</v>
      </c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7"/>
      <c r="E290" s="17"/>
      <c r="F290" s="17"/>
      <c r="G290" s="17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5.5" customHeight="1" x14ac:dyDescent="0.25">
      <c r="A291" s="316" t="s">
        <v>400</v>
      </c>
      <c r="B291" s="317"/>
      <c r="C291" s="317"/>
      <c r="D291" s="257"/>
      <c r="E291" s="395" t="s">
        <v>401</v>
      </c>
      <c r="F291" s="418" t="str">
        <f>IFERROR(F287/D289,"-")</f>
        <v>-</v>
      </c>
      <c r="G291" s="17" t="s">
        <v>193</v>
      </c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" customHeight="1" x14ac:dyDescent="0.25"/>
    <row r="293" spans="1:26" ht="9.75" customHeight="1" x14ac:dyDescent="0.25"/>
    <row r="294" spans="1:26" ht="9.75" customHeight="1" x14ac:dyDescent="0.25"/>
    <row r="295" spans="1:26" ht="9.75" customHeight="1" x14ac:dyDescent="0.25"/>
    <row r="296" spans="1:26" ht="12.75" customHeight="1" x14ac:dyDescent="0.25"/>
    <row r="297" spans="1:26" ht="12.75" customHeight="1" x14ac:dyDescent="0.25"/>
    <row r="298" spans="1:26" ht="12.75" customHeight="1" x14ac:dyDescent="0.25"/>
    <row r="299" spans="1:26" ht="12.75" customHeight="1" x14ac:dyDescent="0.25"/>
    <row r="300" spans="1:26" ht="12.75" customHeight="1" x14ac:dyDescent="0.25"/>
    <row r="301" spans="1:26" ht="12.75" customHeight="1" x14ac:dyDescent="0.25"/>
    <row r="302" spans="1:26" ht="12.75" customHeight="1" x14ac:dyDescent="0.25"/>
    <row r="303" spans="1:26" ht="12.75" customHeight="1" x14ac:dyDescent="0.25"/>
    <row r="304" spans="1:26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9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</sheetData>
  <mergeCells count="11">
    <mergeCell ref="A170:F170"/>
    <mergeCell ref="A40:E40"/>
    <mergeCell ref="A41:D41"/>
    <mergeCell ref="A47:D47"/>
    <mergeCell ref="A48:D48"/>
    <mergeCell ref="A49:D49"/>
    <mergeCell ref="A11:F11"/>
    <mergeCell ref="A12:F12"/>
    <mergeCell ref="A14:F14"/>
    <mergeCell ref="A23:C23"/>
    <mergeCell ref="A25:D25"/>
  </mergeCells>
  <hyperlinks>
    <hyperlink ref="A26" location="Google_Sheet_Link_242342722" display="    3.1.1. Depreciação    "/>
    <hyperlink ref="A27" location="Google_Sheet_Link_639513693" display="    3.1.2. Remuneração do Capital    "/>
    <hyperlink ref="A172" location="Google_Sheet_Link_242342722" display="3.1.1. Depreciação"/>
    <hyperlink ref="A188" location="Google_Sheet_Link_639513693" display="3.1.2. Remuneração do Capital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68"/>
  <sheetViews>
    <sheetView topLeftCell="A196" zoomScaleNormal="100" workbookViewId="0">
      <selection activeCell="F215" sqref="F215"/>
    </sheetView>
  </sheetViews>
  <sheetFormatPr defaultRowHeight="13.2" x14ac:dyDescent="0.25"/>
  <cols>
    <col min="1" max="1" width="44.6640625" customWidth="1"/>
    <col min="2" max="2" width="16" customWidth="1"/>
    <col min="3" max="3" width="11.88671875" customWidth="1"/>
    <col min="4" max="4" width="14.77734375" customWidth="1"/>
    <col min="5" max="5" width="15.33203125" customWidth="1"/>
    <col min="6" max="6" width="13.21875" customWidth="1"/>
    <col min="7" max="7" width="28.109375" customWidth="1"/>
    <col min="8" max="8" width="9.109375" customWidth="1"/>
    <col min="9" max="9" width="14.6640625" customWidth="1"/>
    <col min="10" max="10" width="13.33203125" customWidth="1"/>
    <col min="11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16" t="s">
        <v>194</v>
      </c>
      <c r="B1" s="15"/>
      <c r="C1" s="15"/>
      <c r="D1" s="17"/>
      <c r="E1" s="17"/>
      <c r="F1" s="17"/>
      <c r="G1" s="1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8" t="s">
        <v>195</v>
      </c>
      <c r="B2" s="15"/>
      <c r="C2" s="15"/>
      <c r="D2" s="17"/>
      <c r="E2" s="17"/>
      <c r="F2" s="17"/>
      <c r="G2" s="1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8" t="s">
        <v>196</v>
      </c>
      <c r="B3" s="15"/>
      <c r="C3" s="15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8" t="s">
        <v>197</v>
      </c>
      <c r="B4" s="15"/>
      <c r="C4" s="15"/>
      <c r="D4" s="17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 x14ac:dyDescent="0.25">
      <c r="A5" s="37" t="s">
        <v>198</v>
      </c>
      <c r="B5" s="15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231" t="s">
        <v>199</v>
      </c>
      <c r="B6" s="222"/>
      <c r="C6" s="222"/>
      <c r="D6" s="222"/>
      <c r="E6" s="222"/>
      <c r="F6" s="222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15"/>
      <c r="B7" s="222"/>
      <c r="C7" s="222"/>
      <c r="D7" s="222"/>
      <c r="E7" s="222"/>
      <c r="F7" s="222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18" t="s">
        <v>200</v>
      </c>
      <c r="B8" s="222"/>
      <c r="C8" s="222"/>
      <c r="D8" s="222"/>
      <c r="E8" s="222"/>
      <c r="F8" s="22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18" t="s">
        <v>201</v>
      </c>
      <c r="B9" s="222"/>
      <c r="C9" s="222"/>
      <c r="D9" s="222"/>
      <c r="E9" s="222"/>
      <c r="F9" s="222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5" customHeight="1" x14ac:dyDescent="0.25">
      <c r="A10" s="15"/>
      <c r="B10" s="222"/>
      <c r="C10" s="222"/>
      <c r="D10" s="17"/>
      <c r="E10" s="17"/>
      <c r="F10" s="17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4" customHeight="1" x14ac:dyDescent="0.25">
      <c r="A11" s="593" t="s">
        <v>402</v>
      </c>
      <c r="B11" s="593"/>
      <c r="C11" s="593"/>
      <c r="D11" s="593"/>
      <c r="E11" s="593"/>
      <c r="F11" s="593"/>
      <c r="G11" s="22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.75" customHeight="1" x14ac:dyDescent="0.25">
      <c r="A12" s="594" t="s">
        <v>203</v>
      </c>
      <c r="B12" s="594"/>
      <c r="C12" s="594"/>
      <c r="D12" s="594"/>
      <c r="E12" s="594"/>
      <c r="F12" s="594"/>
      <c r="G12" s="22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0.5" customHeight="1" x14ac:dyDescent="0.25">
      <c r="A13" s="232"/>
      <c r="B13" s="222"/>
      <c r="C13" s="222"/>
      <c r="D13" s="17"/>
      <c r="E13" s="17"/>
      <c r="F13" s="233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5">
      <c r="A14" s="595" t="s">
        <v>204</v>
      </c>
      <c r="B14" s="595"/>
      <c r="C14" s="595"/>
      <c r="D14" s="595"/>
      <c r="E14" s="595"/>
      <c r="F14" s="595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34" t="s">
        <v>205</v>
      </c>
      <c r="B15" s="235"/>
      <c r="C15" s="235"/>
      <c r="D15" s="236"/>
      <c r="E15" s="237" t="s">
        <v>206</v>
      </c>
      <c r="F15" s="238" t="s">
        <v>207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5">
      <c r="A16" s="239" t="str">
        <f>A48</f>
        <v>1. Mão-de-obra</v>
      </c>
      <c r="B16" s="240"/>
      <c r="C16" s="240"/>
      <c r="D16" s="240"/>
      <c r="E16" s="241">
        <f>+F97</f>
        <v>0</v>
      </c>
      <c r="F16" s="242">
        <f t="shared" ref="F16:F32" si="0">IFERROR(E16/$E$33,0)</f>
        <v>0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25">
      <c r="A17" s="243" t="str">
        <f>A50</f>
        <v>1.1. Operários/Agentes de Limpeza</v>
      </c>
      <c r="B17" s="244"/>
      <c r="C17" s="244"/>
      <c r="D17" s="244"/>
      <c r="E17" s="245">
        <f>F60</f>
        <v>0</v>
      </c>
      <c r="F17" s="246">
        <f t="shared" si="0"/>
        <v>0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5">
      <c r="A18" s="243" t="str">
        <f>A63</f>
        <v>1.2. Motorista Caminhão</v>
      </c>
      <c r="B18" s="244"/>
      <c r="C18" s="244"/>
      <c r="D18" s="244"/>
      <c r="E18" s="245">
        <f>F75</f>
        <v>0</v>
      </c>
      <c r="F18" s="246">
        <f t="shared" si="0"/>
        <v>0</v>
      </c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5">
      <c r="A19" s="243" t="str">
        <f>A77</f>
        <v>1.3. Vale Transporte</v>
      </c>
      <c r="B19" s="244"/>
      <c r="C19" s="244"/>
      <c r="D19" s="244"/>
      <c r="E19" s="245">
        <f>F83</f>
        <v>0</v>
      </c>
      <c r="F19" s="246">
        <f t="shared" si="0"/>
        <v>0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243" t="str">
        <f>A85</f>
        <v>1.4. Vale-refeição (diário)</v>
      </c>
      <c r="B20" s="244"/>
      <c r="C20" s="244"/>
      <c r="D20" s="244"/>
      <c r="E20" s="245">
        <f>F89</f>
        <v>0</v>
      </c>
      <c r="F20" s="246">
        <f t="shared" si="0"/>
        <v>0</v>
      </c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243" t="str">
        <f>A91</f>
        <v>1.5. Auxílio Alimentação (mensal)</v>
      </c>
      <c r="B21" s="244"/>
      <c r="C21" s="244"/>
      <c r="D21" s="244"/>
      <c r="E21" s="245">
        <f>F95</f>
        <v>0</v>
      </c>
      <c r="F21" s="246">
        <f t="shared" si="0"/>
        <v>0</v>
      </c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596" t="str">
        <f>A99</f>
        <v>2. Uniformes e Equipamentos de Proteção Individual</v>
      </c>
      <c r="B22" s="596"/>
      <c r="C22" s="596"/>
      <c r="D22" s="240"/>
      <c r="E22" s="241">
        <f>+F132</f>
        <v>0</v>
      </c>
      <c r="F22" s="242">
        <f t="shared" si="0"/>
        <v>0</v>
      </c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 x14ac:dyDescent="0.25">
      <c r="A23" s="247" t="str">
        <f>A134</f>
        <v>3. Veículos e Equipamentos</v>
      </c>
      <c r="B23" s="248"/>
      <c r="C23" s="240"/>
      <c r="D23" s="240"/>
      <c r="E23" s="241">
        <f>+F212</f>
        <v>0</v>
      </c>
      <c r="F23" s="242">
        <f t="shared" si="0"/>
        <v>0</v>
      </c>
      <c r="G23" s="4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32.25" customHeight="1" x14ac:dyDescent="0.25">
      <c r="A24" s="597" t="str">
        <f>A43</f>
        <v xml:space="preserve">3.1. Caminhão PBT mínimo de 14 (quatorze) toneladas equipado com varredeira mecânica 6,5m³ </v>
      </c>
      <c r="B24" s="597"/>
      <c r="C24" s="597"/>
      <c r="D24" s="597"/>
      <c r="E24" s="245">
        <f>SUM(E25:E30)</f>
        <v>0</v>
      </c>
      <c r="F24" s="246">
        <f t="shared" si="0"/>
        <v>0</v>
      </c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249" t="s">
        <v>208</v>
      </c>
      <c r="B25" s="250"/>
      <c r="C25" s="244"/>
      <c r="D25" s="244"/>
      <c r="E25" s="245">
        <f>F152</f>
        <v>0</v>
      </c>
      <c r="F25" s="246">
        <f t="shared" si="0"/>
        <v>0</v>
      </c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249" t="s">
        <v>209</v>
      </c>
      <c r="B26" s="250"/>
      <c r="C26" s="244"/>
      <c r="D26" s="244"/>
      <c r="E26" s="245">
        <f>F168</f>
        <v>0</v>
      </c>
      <c r="F26" s="246">
        <f t="shared" si="0"/>
        <v>0</v>
      </c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251" t="str">
        <f>A170</f>
        <v>3.1.3. Impostos e Seguros - Caminhão</v>
      </c>
      <c r="B27" s="250"/>
      <c r="C27" s="244"/>
      <c r="D27" s="244"/>
      <c r="E27" s="245">
        <f>F176</f>
        <v>0</v>
      </c>
      <c r="F27" s="246">
        <f t="shared" si="0"/>
        <v>0</v>
      </c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251" t="str">
        <f>A178</f>
        <v>3.1.4. Consumos</v>
      </c>
      <c r="B28" s="250"/>
      <c r="C28" s="244"/>
      <c r="D28" s="244"/>
      <c r="E28" s="245">
        <f>F186</f>
        <v>0</v>
      </c>
      <c r="F28" s="246">
        <f t="shared" si="0"/>
        <v>0</v>
      </c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251" t="str">
        <f>A188</f>
        <v>3.1.5. Manutenção</v>
      </c>
      <c r="B29" s="250"/>
      <c r="C29" s="244"/>
      <c r="D29" s="244"/>
      <c r="E29" s="245">
        <f>F191</f>
        <v>0</v>
      </c>
      <c r="F29" s="246">
        <f t="shared" si="0"/>
        <v>0</v>
      </c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251" t="str">
        <f>A193</f>
        <v>3.1.6. Pneus</v>
      </c>
      <c r="B30" s="250"/>
      <c r="C30" s="244"/>
      <c r="D30" s="244"/>
      <c r="E30" s="245">
        <f>F200</f>
        <v>0</v>
      </c>
      <c r="F30" s="246">
        <f t="shared" si="0"/>
        <v>0</v>
      </c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251" t="str">
        <f>A202</f>
        <v>3.1.7. Monitoramento da Frota</v>
      </c>
      <c r="B31" s="250"/>
      <c r="C31" s="244"/>
      <c r="D31" s="244"/>
      <c r="E31" s="419">
        <f>F210</f>
        <v>0</v>
      </c>
      <c r="F31" s="246">
        <f t="shared" si="0"/>
        <v>0</v>
      </c>
      <c r="G31" s="1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247" t="str">
        <f>A217</f>
        <v>4. Benefícios e Despesas Indiretas - BDI</v>
      </c>
      <c r="B32" s="248"/>
      <c r="C32" s="240"/>
      <c r="D32" s="240"/>
      <c r="E32" s="254">
        <f>+F223</f>
        <v>0</v>
      </c>
      <c r="F32" s="242">
        <f t="shared" si="0"/>
        <v>0</v>
      </c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 x14ac:dyDescent="0.25">
      <c r="A33" s="255" t="s">
        <v>218</v>
      </c>
      <c r="B33" s="256"/>
      <c r="C33" s="257"/>
      <c r="D33" s="257"/>
      <c r="E33" s="258">
        <f>E16+E22+E23+E32</f>
        <v>0</v>
      </c>
      <c r="F33" s="259">
        <f>F16+F22+F23+F32</f>
        <v>0</v>
      </c>
      <c r="G33" s="1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5">
      <c r="A34" s="15"/>
      <c r="B34" s="15"/>
      <c r="C34" s="15"/>
      <c r="D34" s="17"/>
      <c r="E34" s="17"/>
      <c r="F34" s="17"/>
      <c r="G34" s="1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5">
      <c r="A35" s="15"/>
      <c r="B35" s="15"/>
      <c r="C35" s="15"/>
      <c r="D35" s="17"/>
      <c r="E35" s="17"/>
      <c r="F35" s="17"/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" customHeight="1" x14ac:dyDescent="0.25">
      <c r="A36" s="595" t="s">
        <v>219</v>
      </c>
      <c r="B36" s="595"/>
      <c r="C36" s="595"/>
      <c r="D36" s="595"/>
      <c r="E36" s="595"/>
      <c r="F36" s="17"/>
      <c r="G36" s="1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598" t="s">
        <v>220</v>
      </c>
      <c r="B37" s="598"/>
      <c r="C37" s="598"/>
      <c r="D37" s="598"/>
      <c r="E37" s="260" t="s">
        <v>55</v>
      </c>
      <c r="F37" s="17"/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" customHeight="1" x14ac:dyDescent="0.25">
      <c r="A38" s="261" t="str">
        <f>+A50</f>
        <v>1.1. Operários/Agentes de Limpeza</v>
      </c>
      <c r="B38" s="235"/>
      <c r="C38" s="235"/>
      <c r="D38" s="262"/>
      <c r="E38" s="263">
        <f>C59</f>
        <v>2</v>
      </c>
      <c r="F38" s="17"/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" customHeight="1" x14ac:dyDescent="0.25">
      <c r="A39" s="264" t="str">
        <f>A63</f>
        <v>1.2. Motorista Caminhão</v>
      </c>
      <c r="B39" s="265"/>
      <c r="C39" s="265"/>
      <c r="D39" s="266"/>
      <c r="E39" s="267">
        <f>C74</f>
        <v>1</v>
      </c>
      <c r="F39" s="17"/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" customHeight="1" x14ac:dyDescent="0.25">
      <c r="A40" s="268" t="s">
        <v>221</v>
      </c>
      <c r="B40" s="269"/>
      <c r="C40" s="269"/>
      <c r="D40" s="270"/>
      <c r="E40" s="271">
        <f>SUM(E38:E39)</f>
        <v>3</v>
      </c>
      <c r="F40" s="17"/>
      <c r="G40" s="1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" customHeight="1" x14ac:dyDescent="0.25">
      <c r="A41" s="272"/>
      <c r="B41" s="121"/>
      <c r="C41" s="17"/>
      <c r="D41" s="17"/>
      <c r="E41" s="17"/>
      <c r="F41" s="17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" customHeight="1" x14ac:dyDescent="0.25">
      <c r="A42" s="599" t="s">
        <v>222</v>
      </c>
      <c r="B42" s="599"/>
      <c r="C42" s="599"/>
      <c r="D42" s="599"/>
      <c r="E42" s="260" t="s">
        <v>55</v>
      </c>
      <c r="F42" s="15"/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44.25" customHeight="1" x14ac:dyDescent="0.25">
      <c r="A43" s="597" t="str">
        <f>A136</f>
        <v xml:space="preserve">3.1. Caminhão PBT mínimo de 14 (quatorze) toneladas equipado com varredeira mecânica 6,5m³ </v>
      </c>
      <c r="B43" s="597"/>
      <c r="C43" s="597"/>
      <c r="D43" s="597"/>
      <c r="E43" s="273">
        <f>C151</f>
        <v>1</v>
      </c>
      <c r="F43" s="15"/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 x14ac:dyDescent="0.25">
      <c r="A44" s="600" t="s">
        <v>223</v>
      </c>
      <c r="B44" s="600"/>
      <c r="C44" s="600"/>
      <c r="D44" s="600"/>
      <c r="E44" s="281">
        <f>SUM(E43)</f>
        <v>1</v>
      </c>
      <c r="F44" s="15"/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17"/>
      <c r="B45" s="17"/>
      <c r="C45" s="17"/>
      <c r="D45" s="15"/>
      <c r="E45" s="120"/>
      <c r="F45" s="15"/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282" t="s">
        <v>224</v>
      </c>
      <c r="B46" s="283">
        <v>1</v>
      </c>
      <c r="C46" s="43"/>
      <c r="D46" s="44"/>
      <c r="E46" s="217"/>
      <c r="F46" s="44"/>
      <c r="G46" s="43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5">
      <c r="A47" s="17"/>
      <c r="B47" s="17"/>
      <c r="C47" s="17"/>
      <c r="D47" s="15"/>
      <c r="E47" s="158"/>
      <c r="F47" s="15"/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44" t="s">
        <v>225</v>
      </c>
      <c r="B48" s="15"/>
      <c r="C48" s="15"/>
      <c r="D48" s="17"/>
      <c r="E48" s="17"/>
      <c r="F48" s="17"/>
      <c r="G48" s="1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1.25" customHeight="1" x14ac:dyDescent="0.25">
      <c r="A49" s="15"/>
      <c r="B49" s="15"/>
      <c r="C49" s="15"/>
      <c r="D49" s="17"/>
      <c r="E49" s="17"/>
      <c r="F49" s="17"/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3.5" customHeight="1" x14ac:dyDescent="0.25">
      <c r="A50" s="15" t="s">
        <v>226</v>
      </c>
      <c r="B50" s="15"/>
      <c r="C50" s="15"/>
      <c r="D50" s="17"/>
      <c r="E50" s="17"/>
      <c r="F50" s="17"/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25">
      <c r="A51" s="284" t="s">
        <v>227</v>
      </c>
      <c r="B51" s="285" t="s">
        <v>98</v>
      </c>
      <c r="C51" s="285" t="s">
        <v>55</v>
      </c>
      <c r="D51" s="286" t="s">
        <v>228</v>
      </c>
      <c r="E51" s="286" t="s">
        <v>229</v>
      </c>
      <c r="F51" s="287" t="s">
        <v>230</v>
      </c>
      <c r="G51" s="288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5">
      <c r="A52" s="289" t="s">
        <v>231</v>
      </c>
      <c r="B52" s="290" t="s">
        <v>232</v>
      </c>
      <c r="C52" s="290">
        <v>1</v>
      </c>
      <c r="D52" s="291"/>
      <c r="E52" s="292">
        <f>C52*D52</f>
        <v>0</v>
      </c>
      <c r="F52" s="17"/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293" t="s">
        <v>403</v>
      </c>
      <c r="B53" s="294" t="s">
        <v>404</v>
      </c>
      <c r="C53" s="388">
        <f>(7+20/60)*(10/12)</f>
        <v>6.1111111111111107</v>
      </c>
      <c r="D53" s="295">
        <f>D52/220*2</f>
        <v>0</v>
      </c>
      <c r="E53" s="295">
        <f>C53*D53</f>
        <v>0</v>
      </c>
      <c r="F53" s="17"/>
      <c r="G53" s="1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293" t="s">
        <v>405</v>
      </c>
      <c r="B54" s="294" t="s">
        <v>250</v>
      </c>
      <c r="C54" s="15"/>
      <c r="D54" s="295">
        <f>63/302*(SUM(E53))</f>
        <v>0</v>
      </c>
      <c r="E54" s="295">
        <f>D54</f>
        <v>0</v>
      </c>
      <c r="F54" s="17"/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5">
      <c r="A55" s="293" t="s">
        <v>233</v>
      </c>
      <c r="B55" s="294" t="s">
        <v>207</v>
      </c>
      <c r="C55" s="294">
        <v>40</v>
      </c>
      <c r="D55" s="295">
        <f>SUM(E52:E54)</f>
        <v>0</v>
      </c>
      <c r="E55" s="295">
        <f>C55*D55/100</f>
        <v>0</v>
      </c>
      <c r="F55" s="17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5">
      <c r="A56" s="296" t="s">
        <v>234</v>
      </c>
      <c r="B56" s="143"/>
      <c r="C56" s="143"/>
      <c r="D56" s="42"/>
      <c r="E56" s="297">
        <f>SUM(E52:E55)</f>
        <v>0</v>
      </c>
      <c r="F56" s="17"/>
      <c r="G56" s="1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293" t="s">
        <v>235</v>
      </c>
      <c r="B57" s="294" t="s">
        <v>207</v>
      </c>
      <c r="C57" s="298">
        <f>'6. Encargos Sociais'!$C$37*100</f>
        <v>71.22548900000001</v>
      </c>
      <c r="D57" s="295">
        <f>E56</f>
        <v>0</v>
      </c>
      <c r="E57" s="295">
        <f>D57*C57/100</f>
        <v>0</v>
      </c>
      <c r="F57" s="17"/>
      <c r="G57" s="1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296" t="s">
        <v>236</v>
      </c>
      <c r="B58" s="143"/>
      <c r="C58" s="143"/>
      <c r="D58" s="42"/>
      <c r="E58" s="297">
        <f>E56+E57</f>
        <v>0</v>
      </c>
      <c r="F58" s="17"/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293" t="s">
        <v>237</v>
      </c>
      <c r="B59" s="294" t="s">
        <v>238</v>
      </c>
      <c r="C59" s="299">
        <f>'0. Qtdades e Custos'!E19</f>
        <v>2</v>
      </c>
      <c r="D59" s="295">
        <f>E58</f>
        <v>0</v>
      </c>
      <c r="E59" s="295">
        <f>C59*D59</f>
        <v>0</v>
      </c>
      <c r="F59" s="17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3.5" customHeight="1" x14ac:dyDescent="0.25">
      <c r="A60" s="15"/>
      <c r="B60" s="15"/>
      <c r="C60" s="15"/>
      <c r="D60" s="205" t="s">
        <v>239</v>
      </c>
      <c r="E60" s="300">
        <f>$B$46</f>
        <v>1</v>
      </c>
      <c r="F60" s="301">
        <f>E59*E60</f>
        <v>0</v>
      </c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1.25" customHeight="1" x14ac:dyDescent="0.25">
      <c r="A61" s="15"/>
      <c r="B61" s="15"/>
      <c r="C61" s="15"/>
      <c r="D61" s="17"/>
      <c r="E61" s="17"/>
      <c r="F61" s="17"/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1.25" customHeight="1" x14ac:dyDescent="0.25">
      <c r="A62" s="15"/>
      <c r="B62" s="15"/>
      <c r="C62" s="15"/>
      <c r="D62" s="17"/>
      <c r="E62" s="17"/>
      <c r="F62" s="17"/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15" t="s">
        <v>419</v>
      </c>
      <c r="B63" s="15"/>
      <c r="C63" s="15"/>
      <c r="D63" s="17"/>
      <c r="E63" s="17"/>
      <c r="F63" s="17"/>
      <c r="G63" s="1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284" t="s">
        <v>227</v>
      </c>
      <c r="B64" s="285" t="s">
        <v>98</v>
      </c>
      <c r="C64" s="285" t="s">
        <v>55</v>
      </c>
      <c r="D64" s="286" t="s">
        <v>228</v>
      </c>
      <c r="E64" s="286" t="s">
        <v>229</v>
      </c>
      <c r="F64" s="287" t="s">
        <v>230</v>
      </c>
      <c r="G64" s="288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2.75" customHeight="1" x14ac:dyDescent="0.25">
      <c r="A65" s="289" t="s">
        <v>242</v>
      </c>
      <c r="B65" s="290" t="s">
        <v>232</v>
      </c>
      <c r="C65" s="290">
        <v>1</v>
      </c>
      <c r="D65" s="291"/>
      <c r="E65" s="292">
        <f>C65*D65</f>
        <v>0</v>
      </c>
      <c r="F65" s="17"/>
      <c r="G65" s="1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289" t="s">
        <v>243</v>
      </c>
      <c r="B66" s="290" t="s">
        <v>232</v>
      </c>
      <c r="C66" s="294">
        <v>1</v>
      </c>
      <c r="D66" s="291"/>
      <c r="E66" s="292"/>
      <c r="F66" s="17"/>
      <c r="G66" s="1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293" t="s">
        <v>403</v>
      </c>
      <c r="B67" s="294" t="s">
        <v>404</v>
      </c>
      <c r="C67" s="388">
        <f>C53</f>
        <v>6.1111111111111107</v>
      </c>
      <c r="D67" s="295">
        <f>D65/220*2</f>
        <v>0</v>
      </c>
      <c r="E67" s="295">
        <f>C67*D67</f>
        <v>0</v>
      </c>
      <c r="F67" s="17"/>
      <c r="G67" s="1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293" t="s">
        <v>405</v>
      </c>
      <c r="B68" s="294" t="s">
        <v>250</v>
      </c>
      <c r="C68" s="15"/>
      <c r="D68" s="295">
        <f>63/302*(SUM(E67))</f>
        <v>0</v>
      </c>
      <c r="E68" s="295">
        <f>D68</f>
        <v>0</v>
      </c>
      <c r="F68" s="17"/>
      <c r="G68" s="1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293" t="s">
        <v>244</v>
      </c>
      <c r="B69" s="294"/>
      <c r="C69" s="302"/>
      <c r="D69" s="295"/>
      <c r="E69" s="295"/>
      <c r="F69" s="17"/>
      <c r="G69" s="1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293" t="s">
        <v>233</v>
      </c>
      <c r="B70" s="294" t="s">
        <v>207</v>
      </c>
      <c r="C70" s="299">
        <v>0</v>
      </c>
      <c r="D70" s="295">
        <f>IF(C69=2,SUM(E65:E68),IF(C69=1,(SUM(E65:E66))*D66/D65,0))</f>
        <v>0</v>
      </c>
      <c r="E70" s="295">
        <f>C70*D70/100</f>
        <v>0</v>
      </c>
      <c r="F70" s="17"/>
      <c r="G70" s="1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5">
      <c r="A71" s="181" t="s">
        <v>234</v>
      </c>
      <c r="B71" s="143"/>
      <c r="C71" s="143"/>
      <c r="D71" s="42"/>
      <c r="E71" s="303">
        <f>SUM(E65:E70)</f>
        <v>0</v>
      </c>
      <c r="F71" s="43"/>
      <c r="G71" s="43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.75" customHeight="1" x14ac:dyDescent="0.25">
      <c r="A72" s="293" t="s">
        <v>235</v>
      </c>
      <c r="B72" s="294" t="s">
        <v>207</v>
      </c>
      <c r="C72" s="298">
        <f>'6. Encargos Sociais'!$C$37*100</f>
        <v>71.22548900000001</v>
      </c>
      <c r="D72" s="295">
        <f>E71</f>
        <v>0</v>
      </c>
      <c r="E72" s="295">
        <f>D72*C72/100</f>
        <v>0</v>
      </c>
      <c r="F72" s="17"/>
      <c r="G72" s="1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5">
      <c r="A73" s="181" t="s">
        <v>245</v>
      </c>
      <c r="B73" s="304"/>
      <c r="C73" s="304"/>
      <c r="D73" s="305"/>
      <c r="E73" s="303">
        <f>E71+E72</f>
        <v>0</v>
      </c>
      <c r="F73" s="43"/>
      <c r="G73" s="43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.75" customHeight="1" x14ac:dyDescent="0.25">
      <c r="A74" s="293" t="s">
        <v>237</v>
      </c>
      <c r="B74" s="294" t="s">
        <v>238</v>
      </c>
      <c r="C74" s="299">
        <f>'0. Qtdades e Custos'!E21</f>
        <v>1</v>
      </c>
      <c r="D74" s="295">
        <f>E73</f>
        <v>0</v>
      </c>
      <c r="E74" s="295">
        <f>C74*D74</f>
        <v>0</v>
      </c>
      <c r="F74" s="17"/>
      <c r="G74" s="1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15"/>
      <c r="B75" s="15"/>
      <c r="C75" s="15"/>
      <c r="D75" s="205" t="s">
        <v>239</v>
      </c>
      <c r="E75" s="300">
        <f>$B$46</f>
        <v>1</v>
      </c>
      <c r="F75" s="301">
        <f>E74*E75</f>
        <v>0</v>
      </c>
      <c r="G75" s="1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1.25" customHeight="1" x14ac:dyDescent="0.25">
      <c r="A76" s="15"/>
      <c r="B76" s="15"/>
      <c r="C76" s="15"/>
      <c r="D76" s="17"/>
      <c r="E76" s="17"/>
      <c r="F76" s="17"/>
      <c r="G76" s="1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5">
      <c r="A77" s="15" t="s">
        <v>420</v>
      </c>
      <c r="B77" s="306"/>
      <c r="C77" s="15"/>
      <c r="D77" s="15"/>
      <c r="E77" s="15"/>
      <c r="F77" s="17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5">
      <c r="A78" s="284" t="s">
        <v>227</v>
      </c>
      <c r="B78" s="285" t="s">
        <v>98</v>
      </c>
      <c r="C78" s="285" t="s">
        <v>55</v>
      </c>
      <c r="D78" s="286" t="s">
        <v>228</v>
      </c>
      <c r="E78" s="286" t="s">
        <v>229</v>
      </c>
      <c r="F78" s="287" t="s">
        <v>230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293" t="s">
        <v>249</v>
      </c>
      <c r="B79" s="294" t="s">
        <v>250</v>
      </c>
      <c r="C79" s="307">
        <v>1</v>
      </c>
      <c r="D79" s="308"/>
      <c r="E79" s="295"/>
      <c r="F79" s="17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293" t="s">
        <v>251</v>
      </c>
      <c r="B80" s="294" t="s">
        <v>252</v>
      </c>
      <c r="C80" s="309">
        <v>25.25</v>
      </c>
      <c r="D80" s="295"/>
      <c r="E80" s="295"/>
      <c r="F80" s="17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5">
      <c r="A81" s="293" t="str">
        <f>A50</f>
        <v>1.1. Operários/Agentes de Limpeza</v>
      </c>
      <c r="B81" s="294" t="s">
        <v>253</v>
      </c>
      <c r="C81" s="310">
        <f>$C$80*2*(C59)</f>
        <v>101</v>
      </c>
      <c r="D81" s="292">
        <f>IFERROR((($C$80*2*$D$79)-(E52*0.06*$C$80/26))/($C$80*2),"-")</f>
        <v>0</v>
      </c>
      <c r="E81" s="295">
        <f>IFERROR(C81*D81,"-")</f>
        <v>0</v>
      </c>
      <c r="F81" s="17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293" t="str">
        <f>A63</f>
        <v>1.2. Motorista Caminhão</v>
      </c>
      <c r="B82" s="294" t="s">
        <v>253</v>
      </c>
      <c r="C82" s="310">
        <f>$C$80*2*(C74)</f>
        <v>50.5</v>
      </c>
      <c r="D82" s="292">
        <f>IFERROR((($C$80*2*$D$79)-(E65*0.06*$C$80/26))/($C$80*2),"-")</f>
        <v>0</v>
      </c>
      <c r="E82" s="295">
        <f>IFERROR(C82*D82,"-")</f>
        <v>0</v>
      </c>
      <c r="F82" s="17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15"/>
      <c r="B83" s="15"/>
      <c r="C83" s="15"/>
      <c r="D83" s="17"/>
      <c r="E83" s="17"/>
      <c r="F83" s="312">
        <f>SUM(E81:E82)</f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1.25" customHeight="1" x14ac:dyDescent="0.25">
      <c r="A84" s="15"/>
      <c r="B84" s="15"/>
      <c r="C84" s="15"/>
      <c r="D84" s="17"/>
      <c r="E84" s="17"/>
      <c r="F84" s="17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 t="s">
        <v>421</v>
      </c>
      <c r="B85" s="15"/>
      <c r="C85" s="15"/>
      <c r="D85" s="17"/>
      <c r="E85" s="17"/>
      <c r="F85" s="43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284" t="s">
        <v>227</v>
      </c>
      <c r="B86" s="285" t="s">
        <v>98</v>
      </c>
      <c r="C86" s="285" t="s">
        <v>55</v>
      </c>
      <c r="D86" s="286" t="s">
        <v>228</v>
      </c>
      <c r="E86" s="286" t="s">
        <v>229</v>
      </c>
      <c r="F86" s="287" t="s">
        <v>230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293" t="str">
        <f>+A81</f>
        <v>1.1. Operários/Agentes de Limpeza</v>
      </c>
      <c r="B87" s="294" t="s">
        <v>255</v>
      </c>
      <c r="C87" s="310">
        <f>$C$80*(E38)</f>
        <v>50.5</v>
      </c>
      <c r="D87" s="313"/>
      <c r="E87" s="300">
        <f>C87*D87</f>
        <v>0</v>
      </c>
      <c r="F87" s="43"/>
      <c r="G87" s="288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293" t="str">
        <f>+A82</f>
        <v>1.2. Motorista Caminhão</v>
      </c>
      <c r="B88" s="294" t="s">
        <v>255</v>
      </c>
      <c r="C88" s="310">
        <f>$C$80*(E39)</f>
        <v>25.25</v>
      </c>
      <c r="D88" s="313"/>
      <c r="E88" s="300">
        <f>C88*D88</f>
        <v>0</v>
      </c>
      <c r="F88" s="43"/>
      <c r="G88" s="288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7"/>
      <c r="E89" s="17"/>
      <c r="F89" s="312">
        <f>SUM(E87:E88)</f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7"/>
      <c r="E90" s="17"/>
      <c r="F90" s="1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 t="s">
        <v>422</v>
      </c>
      <c r="B91" s="15"/>
      <c r="C91" s="15"/>
      <c r="D91" s="17"/>
      <c r="E91" s="17"/>
      <c r="F91" s="43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284" t="s">
        <v>227</v>
      </c>
      <c r="B92" s="285" t="s">
        <v>98</v>
      </c>
      <c r="C92" s="285" t="s">
        <v>55</v>
      </c>
      <c r="D92" s="286" t="s">
        <v>228</v>
      </c>
      <c r="E92" s="286" t="s">
        <v>229</v>
      </c>
      <c r="F92" s="287" t="s">
        <v>230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293" t="str">
        <f>+A87</f>
        <v>1.1. Operários/Agentes de Limpeza</v>
      </c>
      <c r="B93" s="294" t="s">
        <v>255</v>
      </c>
      <c r="C93" s="310">
        <f>E38</f>
        <v>2</v>
      </c>
      <c r="D93" s="313">
        <v>0</v>
      </c>
      <c r="E93" s="300">
        <f>C93*D93</f>
        <v>0</v>
      </c>
      <c r="F93" s="43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293" t="str">
        <f>+A88</f>
        <v>1.2. Motorista Caminhão</v>
      </c>
      <c r="B94" s="294" t="s">
        <v>255</v>
      </c>
      <c r="C94" s="310">
        <f>E39</f>
        <v>1</v>
      </c>
      <c r="D94" s="313"/>
      <c r="E94" s="300">
        <f>C94*D94</f>
        <v>0</v>
      </c>
      <c r="F94" s="43"/>
      <c r="G94" s="288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205" t="s">
        <v>239</v>
      </c>
      <c r="E95" s="300">
        <f>$B$46</f>
        <v>1</v>
      </c>
      <c r="F95" s="312">
        <f>SUM(E93:E94)*E95</f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7"/>
      <c r="E96" s="17"/>
      <c r="F96" s="1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316" t="s">
        <v>257</v>
      </c>
      <c r="B97" s="317"/>
      <c r="C97" s="317"/>
      <c r="D97" s="257"/>
      <c r="E97" s="318"/>
      <c r="F97" s="312">
        <f>F60+F75+F83+F89+F95</f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7"/>
      <c r="E98" s="17"/>
      <c r="F98" s="17"/>
      <c r="G98" s="1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44" t="s">
        <v>258</v>
      </c>
      <c r="B99" s="15"/>
      <c r="C99" s="15"/>
      <c r="D99" s="17"/>
      <c r="E99" s="17"/>
      <c r="F99" s="1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1.25" customHeight="1" x14ac:dyDescent="0.25">
      <c r="A100" s="15"/>
      <c r="B100" s="15"/>
      <c r="C100" s="15"/>
      <c r="D100" s="17"/>
      <c r="E100" s="17"/>
      <c r="F100" s="17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3.5" customHeight="1" x14ac:dyDescent="0.25">
      <c r="A101" s="15" t="s">
        <v>259</v>
      </c>
      <c r="B101" s="15"/>
      <c r="C101" s="15"/>
      <c r="D101" s="17"/>
      <c r="E101" s="17"/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1.25" customHeight="1" x14ac:dyDescent="0.25">
      <c r="A102" s="15"/>
      <c r="B102" s="15"/>
      <c r="C102" s="15"/>
      <c r="D102" s="17"/>
      <c r="E102" s="17"/>
      <c r="F102" s="1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7.75" customHeight="1" x14ac:dyDescent="0.25">
      <c r="A103" s="284" t="s">
        <v>227</v>
      </c>
      <c r="B103" s="285" t="s">
        <v>98</v>
      </c>
      <c r="C103" s="319" t="s">
        <v>260</v>
      </c>
      <c r="D103" s="286" t="s">
        <v>228</v>
      </c>
      <c r="E103" s="286" t="s">
        <v>229</v>
      </c>
      <c r="F103" s="287" t="s">
        <v>230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320" t="s">
        <v>134</v>
      </c>
      <c r="B104" s="290" t="s">
        <v>255</v>
      </c>
      <c r="C104" s="321">
        <f>12/'0. Qtdades e Custos'!C127</f>
        <v>12</v>
      </c>
      <c r="D104" s="291">
        <f>VLOOKUP(A104,'0. Qtdades e Custos'!$B$198:$F$212,4,0)</f>
        <v>0</v>
      </c>
      <c r="E104" s="292">
        <f t="shared" ref="E104:E115" si="1">IFERROR(D104/C104,0)</f>
        <v>0</v>
      </c>
      <c r="F104" s="1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289" t="s">
        <v>135</v>
      </c>
      <c r="B105" s="294" t="s">
        <v>255</v>
      </c>
      <c r="C105" s="321">
        <f>12/'0. Qtdades e Custos'!C128</f>
        <v>2</v>
      </c>
      <c r="D105" s="291">
        <f>VLOOKUP(A105,'0. Qtdades e Custos'!$B$198:$F$212,4,0)</f>
        <v>0</v>
      </c>
      <c r="E105" s="292">
        <f t="shared" si="1"/>
        <v>0</v>
      </c>
      <c r="F105" s="1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320" t="s">
        <v>136</v>
      </c>
      <c r="B106" s="294" t="s">
        <v>255</v>
      </c>
      <c r="C106" s="321">
        <f>12/'0. Qtdades e Custos'!C129</f>
        <v>2</v>
      </c>
      <c r="D106" s="291">
        <f>VLOOKUP(A106,'0. Qtdades e Custos'!$B$198:$F$212,4,0)</f>
        <v>0</v>
      </c>
      <c r="E106" s="292">
        <f t="shared" si="1"/>
        <v>0</v>
      </c>
      <c r="F106" s="1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320" t="s">
        <v>137</v>
      </c>
      <c r="B107" s="294" t="s">
        <v>255</v>
      </c>
      <c r="C107" s="321">
        <f>12/'0. Qtdades e Custos'!C130</f>
        <v>2</v>
      </c>
      <c r="D107" s="291">
        <f>VLOOKUP(A107,'0. Qtdades e Custos'!$B$198:$F$212,4,0)</f>
        <v>0</v>
      </c>
      <c r="E107" s="292">
        <f t="shared" si="1"/>
        <v>0</v>
      </c>
      <c r="F107" s="1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289" t="s">
        <v>138</v>
      </c>
      <c r="B108" s="294" t="s">
        <v>255</v>
      </c>
      <c r="C108" s="321">
        <f>12/'0. Qtdades e Custos'!C131</f>
        <v>4</v>
      </c>
      <c r="D108" s="291">
        <f>VLOOKUP(A108,'0. Qtdades e Custos'!$B$198:$F$212,4,0)</f>
        <v>0</v>
      </c>
      <c r="E108" s="292">
        <f t="shared" si="1"/>
        <v>0</v>
      </c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289" t="s">
        <v>139</v>
      </c>
      <c r="B109" s="294" t="s">
        <v>255</v>
      </c>
      <c r="C109" s="321">
        <f>12/'0. Qtdades e Custos'!C132</f>
        <v>4</v>
      </c>
      <c r="D109" s="291">
        <f>VLOOKUP(A109,'0. Qtdades e Custos'!$B$198:$F$212,4,0)</f>
        <v>0</v>
      </c>
      <c r="E109" s="292">
        <f t="shared" si="1"/>
        <v>0</v>
      </c>
      <c r="F109" s="1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293" t="s">
        <v>140</v>
      </c>
      <c r="B110" s="294" t="s">
        <v>255</v>
      </c>
      <c r="C110" s="321">
        <f>12/'0. Qtdades e Custos'!C133</f>
        <v>12</v>
      </c>
      <c r="D110" s="291">
        <f>VLOOKUP(A110,'0. Qtdades e Custos'!$B$198:$F$212,4,0)</f>
        <v>0</v>
      </c>
      <c r="E110" s="292">
        <f t="shared" si="1"/>
        <v>0</v>
      </c>
      <c r="F110" s="1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293" t="s">
        <v>141</v>
      </c>
      <c r="B111" s="294" t="s">
        <v>255</v>
      </c>
      <c r="C111" s="321">
        <f>12/'0. Qtdades e Custos'!C134</f>
        <v>4</v>
      </c>
      <c r="D111" s="291">
        <f>VLOOKUP(A111,'0. Qtdades e Custos'!$B$198:$F$212,4,0)</f>
        <v>0</v>
      </c>
      <c r="E111" s="292">
        <f t="shared" si="1"/>
        <v>0</v>
      </c>
      <c r="F111" s="1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293" t="s">
        <v>142</v>
      </c>
      <c r="B112" s="294" t="s">
        <v>255</v>
      </c>
      <c r="C112" s="321">
        <f>12/'0. Qtdades e Custos'!C135</f>
        <v>4</v>
      </c>
      <c r="D112" s="291">
        <f>VLOOKUP(A112,'0. Qtdades e Custos'!$B$198:$F$212,4,0)</f>
        <v>0</v>
      </c>
      <c r="E112" s="292">
        <f t="shared" si="1"/>
        <v>0</v>
      </c>
      <c r="F112" s="17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3.5" customHeight="1" x14ac:dyDescent="0.25">
      <c r="A113" s="293" t="s">
        <v>143</v>
      </c>
      <c r="B113" s="294" t="s">
        <v>171</v>
      </c>
      <c r="C113" s="321">
        <f>12/'0. Qtdades e Custos'!C136</f>
        <v>0.5</v>
      </c>
      <c r="D113" s="291">
        <f>VLOOKUP(A113,'0. Qtdades e Custos'!$B$198:$F$212,4,0)</f>
        <v>0</v>
      </c>
      <c r="E113" s="292">
        <f t="shared" si="1"/>
        <v>0</v>
      </c>
      <c r="F113" s="1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293" t="s">
        <v>144</v>
      </c>
      <c r="B114" s="294" t="s">
        <v>255</v>
      </c>
      <c r="C114" s="321">
        <f>12/'0. Qtdades e Custos'!C137</f>
        <v>1</v>
      </c>
      <c r="D114" s="291">
        <f>VLOOKUP(A114,'0. Qtdades e Custos'!$B$198:$F$212,4,0)</f>
        <v>0</v>
      </c>
      <c r="E114" s="292">
        <f t="shared" si="1"/>
        <v>0</v>
      </c>
      <c r="F114" s="17"/>
      <c r="G114" s="1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293" t="s">
        <v>145</v>
      </c>
      <c r="B115" s="294" t="s">
        <v>171</v>
      </c>
      <c r="C115" s="321">
        <f>12/'0. Qtdades e Custos'!C138</f>
        <v>2</v>
      </c>
      <c r="D115" s="291">
        <f>VLOOKUP(A115,'0. Qtdades e Custos'!$B$198:$F$212,4,0)</f>
        <v>0</v>
      </c>
      <c r="E115" s="292">
        <f t="shared" si="1"/>
        <v>0</v>
      </c>
      <c r="F115" s="17"/>
      <c r="G115" s="1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293" t="s">
        <v>237</v>
      </c>
      <c r="B116" s="294" t="s">
        <v>238</v>
      </c>
      <c r="C116" s="323">
        <f>E38</f>
        <v>2</v>
      </c>
      <c r="D116" s="295">
        <f>+SUM(E104:E115)</f>
        <v>0</v>
      </c>
      <c r="E116" s="295">
        <f>C116*D116</f>
        <v>0</v>
      </c>
      <c r="F116" s="17"/>
      <c r="G116" s="17"/>
      <c r="H116" s="15"/>
      <c r="I116" s="15"/>
      <c r="J116" s="15"/>
      <c r="K116" s="15"/>
      <c r="L116" s="15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5">
      <c r="A117" s="15"/>
      <c r="B117" s="15"/>
      <c r="C117" s="15"/>
      <c r="D117" s="205" t="s">
        <v>239</v>
      </c>
      <c r="E117" s="300">
        <f>$B$46</f>
        <v>1</v>
      </c>
      <c r="F117" s="301">
        <f>E116*E117</f>
        <v>0</v>
      </c>
      <c r="G117" s="17"/>
      <c r="H117" s="15"/>
      <c r="I117" s="15"/>
      <c r="J117" s="15"/>
      <c r="K117" s="15"/>
      <c r="L117" s="15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1.25" customHeight="1" x14ac:dyDescent="0.25">
      <c r="A118" s="15"/>
      <c r="B118" s="15"/>
      <c r="C118" s="15"/>
      <c r="D118" s="17"/>
      <c r="E118" s="17"/>
      <c r="F118" s="17"/>
      <c r="G118" s="17"/>
      <c r="H118" s="15"/>
      <c r="I118" s="15"/>
      <c r="J118" s="15"/>
      <c r="K118" s="15"/>
      <c r="L118" s="15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1.25" customHeight="1" x14ac:dyDescent="0.25">
      <c r="A119" s="15"/>
      <c r="B119" s="15"/>
      <c r="C119" s="15"/>
      <c r="D119" s="17"/>
      <c r="E119" s="17"/>
      <c r="F119" s="17"/>
      <c r="G119" s="1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3.5" customHeight="1" x14ac:dyDescent="0.25">
      <c r="A120" s="15" t="s">
        <v>423</v>
      </c>
      <c r="B120" s="15"/>
      <c r="C120" s="15"/>
      <c r="D120" s="17"/>
      <c r="E120" s="17"/>
      <c r="F120" s="17"/>
      <c r="G120" s="1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1.25" customHeight="1" x14ac:dyDescent="0.25">
      <c r="A121" s="15"/>
      <c r="B121" s="15"/>
      <c r="C121" s="15"/>
      <c r="D121" s="17"/>
      <c r="E121" s="17"/>
      <c r="F121" s="17"/>
      <c r="G121" s="1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284" t="s">
        <v>227</v>
      </c>
      <c r="B122" s="285" t="s">
        <v>98</v>
      </c>
      <c r="C122" s="319" t="s">
        <v>260</v>
      </c>
      <c r="D122" s="286" t="s">
        <v>228</v>
      </c>
      <c r="E122" s="286" t="s">
        <v>229</v>
      </c>
      <c r="F122" s="287" t="s">
        <v>230</v>
      </c>
      <c r="G122" s="1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320" t="s">
        <v>134</v>
      </c>
      <c r="B123" s="290" t="s">
        <v>255</v>
      </c>
      <c r="C123" s="321">
        <f>12/'0. Qtdades e Custos'!F127</f>
        <v>12</v>
      </c>
      <c r="D123" s="291">
        <f>VLOOKUP(A123,'0. Qtdades e Custos'!$B$198:$F$212,4,0)</f>
        <v>0</v>
      </c>
      <c r="E123" s="292">
        <f t="shared" ref="E123:E128" si="2">IFERROR(D123/C123,0)</f>
        <v>0</v>
      </c>
      <c r="F123" s="17"/>
      <c r="G123" s="1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293" t="s">
        <v>135</v>
      </c>
      <c r="B124" s="294" t="s">
        <v>255</v>
      </c>
      <c r="C124" s="321">
        <f>12/'0. Qtdades e Custos'!F128</f>
        <v>2</v>
      </c>
      <c r="D124" s="291">
        <f>VLOOKUP(A124,'0. Qtdades e Custos'!$B$198:$F$212,4,0)</f>
        <v>0</v>
      </c>
      <c r="E124" s="292">
        <f t="shared" si="2"/>
        <v>0</v>
      </c>
      <c r="F124" s="17"/>
      <c r="G124" s="1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314" t="s">
        <v>136</v>
      </c>
      <c r="B125" s="294" t="s">
        <v>255</v>
      </c>
      <c r="C125" s="321">
        <f>12/'0. Qtdades e Custos'!F129</f>
        <v>2</v>
      </c>
      <c r="D125" s="291">
        <f>VLOOKUP(A125,'0. Qtdades e Custos'!$B$198:$F$212,4,0)</f>
        <v>0</v>
      </c>
      <c r="E125" s="292">
        <f t="shared" si="2"/>
        <v>0</v>
      </c>
      <c r="F125" s="17"/>
      <c r="G125" s="1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314" t="s">
        <v>137</v>
      </c>
      <c r="B126" s="294" t="s">
        <v>255</v>
      </c>
      <c r="C126" s="321">
        <f>12/'0. Qtdades e Custos'!F130</f>
        <v>2</v>
      </c>
      <c r="D126" s="291">
        <f>VLOOKUP(A126,'0. Qtdades e Custos'!$B$198:$F$212,4,0)</f>
        <v>0</v>
      </c>
      <c r="E126" s="292">
        <f t="shared" si="2"/>
        <v>0</v>
      </c>
      <c r="F126" s="17"/>
      <c r="G126" s="17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293" t="s">
        <v>139</v>
      </c>
      <c r="B127" s="294" t="s">
        <v>255</v>
      </c>
      <c r="C127" s="321">
        <f>12/'0. Qtdades e Custos'!F132</f>
        <v>12</v>
      </c>
      <c r="D127" s="291">
        <f>VLOOKUP(A127,'0. Qtdades e Custos'!$B$198:$F$212,4,0)</f>
        <v>0</v>
      </c>
      <c r="E127" s="292">
        <f t="shared" si="2"/>
        <v>0</v>
      </c>
      <c r="F127" s="17"/>
      <c r="G127" s="1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293" t="s">
        <v>145</v>
      </c>
      <c r="B128" s="294" t="s">
        <v>171</v>
      </c>
      <c r="C128" s="321">
        <f>12/'0. Qtdades e Custos'!F138</f>
        <v>2</v>
      </c>
      <c r="D128" s="291">
        <f>VLOOKUP(A128,'0. Qtdades e Custos'!$B$198:$F$212,4,0)</f>
        <v>0</v>
      </c>
      <c r="E128" s="292">
        <f t="shared" si="2"/>
        <v>0</v>
      </c>
      <c r="F128" s="17"/>
      <c r="G128" s="1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293" t="s">
        <v>237</v>
      </c>
      <c r="B129" s="294" t="s">
        <v>238</v>
      </c>
      <c r="C129" s="323">
        <f>E39</f>
        <v>1</v>
      </c>
      <c r="D129" s="295">
        <f>+SUM(E123:E128)</f>
        <v>0</v>
      </c>
      <c r="E129" s="295">
        <f>C129*D129</f>
        <v>0</v>
      </c>
      <c r="F129" s="1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205" t="s">
        <v>239</v>
      </c>
      <c r="E130" s="300">
        <f>$B$46</f>
        <v>1</v>
      </c>
      <c r="F130" s="301">
        <f>E129*E130</f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1.25" customHeight="1" x14ac:dyDescent="0.25">
      <c r="A131" s="15"/>
      <c r="B131" s="15"/>
      <c r="C131" s="15"/>
      <c r="D131" s="17"/>
      <c r="E131" s="17"/>
      <c r="F131" s="1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316" t="s">
        <v>265</v>
      </c>
      <c r="B132" s="324"/>
      <c r="C132" s="324"/>
      <c r="D132" s="325"/>
      <c r="E132" s="326"/>
      <c r="F132" s="327">
        <f>+F117+F130</f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1.25" customHeight="1" x14ac:dyDescent="0.25">
      <c r="A133" s="15"/>
      <c r="B133" s="15"/>
      <c r="C133" s="15"/>
      <c r="D133" s="17"/>
      <c r="E133" s="17"/>
      <c r="F133" s="17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44" t="s">
        <v>266</v>
      </c>
      <c r="B134" s="15"/>
      <c r="C134" s="15"/>
      <c r="D134" s="17"/>
      <c r="E134" s="17"/>
      <c r="F134" s="1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1.25" customHeight="1" x14ac:dyDescent="0.25">
      <c r="A135" s="15"/>
      <c r="B135" s="211"/>
      <c r="C135" s="15"/>
      <c r="D135" s="17"/>
      <c r="E135" s="17"/>
      <c r="F135" s="1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" customHeight="1" x14ac:dyDescent="0.25">
      <c r="A136" s="602" t="s">
        <v>424</v>
      </c>
      <c r="B136" s="602"/>
      <c r="C136" s="602"/>
      <c r="D136" s="602"/>
      <c r="E136" s="602"/>
      <c r="F136" s="602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1.25" customHeight="1" x14ac:dyDescent="0.25">
      <c r="A137" s="15"/>
      <c r="B137" s="15"/>
      <c r="C137" s="15"/>
      <c r="D137" s="17"/>
      <c r="E137" s="17"/>
      <c r="F137" s="1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211" t="s">
        <v>268</v>
      </c>
      <c r="B138" s="15"/>
      <c r="C138" s="15"/>
      <c r="D138" s="17"/>
      <c r="E138" s="17"/>
      <c r="F138" s="1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284" t="s">
        <v>227</v>
      </c>
      <c r="B139" s="285" t="s">
        <v>98</v>
      </c>
      <c r="C139" s="285" t="s">
        <v>55</v>
      </c>
      <c r="D139" s="286" t="s">
        <v>228</v>
      </c>
      <c r="E139" s="286" t="s">
        <v>229</v>
      </c>
      <c r="F139" s="287" t="s">
        <v>230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289" t="s">
        <v>269</v>
      </c>
      <c r="B140" s="290" t="s">
        <v>255</v>
      </c>
      <c r="C140" s="290">
        <v>1</v>
      </c>
      <c r="D140" s="291">
        <f>'0. Qtdades e Custos'!N68</f>
        <v>0</v>
      </c>
      <c r="E140" s="292">
        <f>C140*D140</f>
        <v>0</v>
      </c>
      <c r="F140" s="1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293" t="s">
        <v>270</v>
      </c>
      <c r="B141" s="294" t="s">
        <v>271</v>
      </c>
      <c r="C141" s="321">
        <f>'0. Qtdades e Custos'!Q68</f>
        <v>7</v>
      </c>
      <c r="D141" s="295"/>
      <c r="E141" s="295"/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293" t="s">
        <v>272</v>
      </c>
      <c r="B142" s="294" t="s">
        <v>271</v>
      </c>
      <c r="C142" s="299">
        <v>0</v>
      </c>
      <c r="D142" s="295"/>
      <c r="E142" s="295"/>
      <c r="F142" s="142"/>
      <c r="G142" s="17"/>
      <c r="H142" s="15"/>
      <c r="I142" s="213"/>
      <c r="J142" s="213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293" t="s">
        <v>273</v>
      </c>
      <c r="B143" s="294" t="s">
        <v>207</v>
      </c>
      <c r="C143" s="298">
        <f>IFERROR(VLOOKUP(C141,'9. Depreciação'!A3:B17,2,0),0)</f>
        <v>60.29</v>
      </c>
      <c r="D143" s="295">
        <f>E140</f>
        <v>0</v>
      </c>
      <c r="E143" s="295">
        <f>C143*D143/100</f>
        <v>0</v>
      </c>
      <c r="F143" s="17"/>
      <c r="G143" s="17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328" t="s">
        <v>274</v>
      </c>
      <c r="B144" s="329" t="s">
        <v>232</v>
      </c>
      <c r="C144" s="329">
        <f>C141*12</f>
        <v>84</v>
      </c>
      <c r="D144" s="330">
        <f>IF(C142&lt;=C141,E143,0)</f>
        <v>0</v>
      </c>
      <c r="E144" s="330">
        <f>IFERROR(D144/C144,0)</f>
        <v>0</v>
      </c>
      <c r="F144" s="17"/>
      <c r="G144" s="1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289" t="s">
        <v>425</v>
      </c>
      <c r="B145" s="290" t="s">
        <v>255</v>
      </c>
      <c r="C145" s="290">
        <f>C140</f>
        <v>1</v>
      </c>
      <c r="D145" s="291">
        <f>'0. Qtdades e Custos'!N69</f>
        <v>0</v>
      </c>
      <c r="E145" s="292">
        <f>C145*D145</f>
        <v>0</v>
      </c>
      <c r="F145" s="1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293" t="s">
        <v>56</v>
      </c>
      <c r="B146" s="294" t="s">
        <v>271</v>
      </c>
      <c r="C146" s="321">
        <f>'0. Qtdades e Custos'!Q69</f>
        <v>5</v>
      </c>
      <c r="D146" s="295"/>
      <c r="E146" s="295"/>
      <c r="F146" s="17"/>
      <c r="G146" s="1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293" t="s">
        <v>411</v>
      </c>
      <c r="B147" s="294" t="s">
        <v>271</v>
      </c>
      <c r="C147" s="299">
        <v>0</v>
      </c>
      <c r="D147" s="295"/>
      <c r="E147" s="295"/>
      <c r="F147" s="142"/>
      <c r="G147" s="17"/>
      <c r="H147" s="15"/>
      <c r="I147" s="213"/>
      <c r="J147" s="213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293" t="s">
        <v>412</v>
      </c>
      <c r="B148" s="294" t="s">
        <v>207</v>
      </c>
      <c r="C148" s="372">
        <f>IFERROR(VLOOKUP(C146,'9. Depreciação'!A3:B17,2,0),0)</f>
        <v>55.68</v>
      </c>
      <c r="D148" s="295">
        <f>E145</f>
        <v>0</v>
      </c>
      <c r="E148" s="295">
        <f>C148*D148/100</f>
        <v>0</v>
      </c>
      <c r="F148" s="17"/>
      <c r="G148" s="1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81" t="s">
        <v>413</v>
      </c>
      <c r="B149" s="331" t="s">
        <v>232</v>
      </c>
      <c r="C149" s="331">
        <f>C146*12</f>
        <v>60</v>
      </c>
      <c r="D149" s="303">
        <f>IF(C147&lt;=C146,E148,0)</f>
        <v>0</v>
      </c>
      <c r="E149" s="303">
        <f>IFERROR(D149/C149,0)</f>
        <v>0</v>
      </c>
      <c r="F149" s="17"/>
      <c r="G149" s="1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296" t="s">
        <v>275</v>
      </c>
      <c r="B150" s="143"/>
      <c r="C150" s="143"/>
      <c r="D150" s="42"/>
      <c r="E150" s="297">
        <f>E144+E149</f>
        <v>0</v>
      </c>
      <c r="F150" s="17"/>
      <c r="G150" s="1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81" t="s">
        <v>276</v>
      </c>
      <c r="B151" s="331" t="s">
        <v>255</v>
      </c>
      <c r="C151" s="321">
        <f>'0. Qtdades e Custos'!P68</f>
        <v>1</v>
      </c>
      <c r="D151" s="303">
        <f>E150</f>
        <v>0</v>
      </c>
      <c r="E151" s="297">
        <f>C151*D151</f>
        <v>0</v>
      </c>
      <c r="F151" s="17"/>
      <c r="G151" s="1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214"/>
      <c r="B152" s="214"/>
      <c r="C152" s="214"/>
      <c r="D152" s="205" t="s">
        <v>239</v>
      </c>
      <c r="E152" s="300">
        <f>$B$46</f>
        <v>1</v>
      </c>
      <c r="F152" s="327">
        <f>E151*E152</f>
        <v>0</v>
      </c>
      <c r="G152" s="1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1.25" customHeight="1" x14ac:dyDescent="0.25">
      <c r="A153" s="15"/>
      <c r="B153" s="15"/>
      <c r="C153" s="15"/>
      <c r="D153" s="17"/>
      <c r="E153" s="17"/>
      <c r="F153" s="17"/>
      <c r="G153" s="17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211" t="s">
        <v>277</v>
      </c>
      <c r="B154" s="15"/>
      <c r="C154" s="15"/>
      <c r="D154" s="17"/>
      <c r="E154" s="17"/>
      <c r="F154" s="17"/>
      <c r="G154" s="17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284" t="s">
        <v>227</v>
      </c>
      <c r="B155" s="285" t="s">
        <v>98</v>
      </c>
      <c r="C155" s="285" t="s">
        <v>55</v>
      </c>
      <c r="D155" s="286" t="s">
        <v>228</v>
      </c>
      <c r="E155" s="286" t="s">
        <v>229</v>
      </c>
      <c r="F155" s="287" t="s">
        <v>230</v>
      </c>
      <c r="G155" s="17"/>
      <c r="H155" s="15"/>
      <c r="I155" s="213"/>
      <c r="J155" s="213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289" t="s">
        <v>278</v>
      </c>
      <c r="B156" s="290" t="s">
        <v>255</v>
      </c>
      <c r="C156" s="290">
        <v>1</v>
      </c>
      <c r="D156" s="292">
        <f>D140</f>
        <v>0</v>
      </c>
      <c r="E156" s="292">
        <f>C156*D156</f>
        <v>0</v>
      </c>
      <c r="F156" s="142"/>
      <c r="G156" s="17"/>
      <c r="H156" s="15"/>
      <c r="I156" s="213"/>
      <c r="J156" s="213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293" t="s">
        <v>279</v>
      </c>
      <c r="B157" s="294" t="s">
        <v>207</v>
      </c>
      <c r="C157" s="299">
        <v>14.75</v>
      </c>
      <c r="D157" s="295"/>
      <c r="E157" s="295"/>
      <c r="F157" s="142"/>
      <c r="G157" s="17"/>
      <c r="H157" s="15"/>
      <c r="I157" s="213"/>
      <c r="J157" s="213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293" t="s">
        <v>280</v>
      </c>
      <c r="B158" s="294" t="s">
        <v>250</v>
      </c>
      <c r="C158" s="295">
        <f>IFERROR(IF(C142&lt;=C141,E140-(C143/(100*C141)*C142)*E140,E140-E143),0)</f>
        <v>0</v>
      </c>
      <c r="D158" s="295"/>
      <c r="E158" s="295"/>
      <c r="F158" s="142"/>
      <c r="G158" s="17"/>
      <c r="H158" s="15"/>
      <c r="I158" s="213"/>
      <c r="J158" s="213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293" t="s">
        <v>281</v>
      </c>
      <c r="B159" s="294" t="s">
        <v>250</v>
      </c>
      <c r="C159" s="295">
        <f>IFERROR(IF(C142&gt;=C141,C158,((((C158)-(E140-E143))*(((C141-C142)+1)/(2*(C141-C142))))+(E140-E143))),0)</f>
        <v>0</v>
      </c>
      <c r="D159" s="295"/>
      <c r="E159" s="295"/>
      <c r="F159" s="142"/>
      <c r="G159" s="17"/>
      <c r="H159" s="15"/>
      <c r="I159" s="213"/>
      <c r="J159" s="213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328" t="s">
        <v>282</v>
      </c>
      <c r="B160" s="329" t="s">
        <v>250</v>
      </c>
      <c r="C160" s="329"/>
      <c r="D160" s="330">
        <f>C157*C159/12/100</f>
        <v>0</v>
      </c>
      <c r="E160" s="330">
        <f>D160</f>
        <v>0</v>
      </c>
      <c r="F160" s="142"/>
      <c r="G160" s="17"/>
      <c r="H160" s="15"/>
      <c r="I160" s="213"/>
      <c r="J160" s="213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289" t="s">
        <v>414</v>
      </c>
      <c r="B161" s="290" t="s">
        <v>255</v>
      </c>
      <c r="C161" s="290">
        <f>C145</f>
        <v>1</v>
      </c>
      <c r="D161" s="292">
        <f>D145</f>
        <v>0</v>
      </c>
      <c r="E161" s="292">
        <f>C161*D161</f>
        <v>0</v>
      </c>
      <c r="F161" s="142"/>
      <c r="G161" s="17"/>
      <c r="H161" s="15"/>
      <c r="I161" s="213"/>
      <c r="J161" s="213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293" t="s">
        <v>279</v>
      </c>
      <c r="B162" s="294" t="s">
        <v>207</v>
      </c>
      <c r="C162" s="294">
        <f>C157</f>
        <v>14.75</v>
      </c>
      <c r="D162" s="295"/>
      <c r="E162" s="295"/>
      <c r="F162" s="142"/>
      <c r="G162" s="17"/>
      <c r="H162" s="15"/>
      <c r="I162" s="213"/>
      <c r="J162" s="213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293" t="s">
        <v>415</v>
      </c>
      <c r="B163" s="294" t="s">
        <v>250</v>
      </c>
      <c r="C163" s="295">
        <f>IFERROR(IF(C147&lt;=C146,E145-(C148/(100*C146)*C147)*E145,E145-E148),0)</f>
        <v>0</v>
      </c>
      <c r="D163" s="295"/>
      <c r="E163" s="295"/>
      <c r="F163" s="142"/>
      <c r="G163" s="17"/>
      <c r="H163" s="15"/>
      <c r="I163" s="213"/>
      <c r="J163" s="213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293" t="s">
        <v>326</v>
      </c>
      <c r="B164" s="294" t="s">
        <v>250</v>
      </c>
      <c r="C164" s="295">
        <f>IFERROR(IF(C147&gt;=C146,C163,((((C163)-(E145-E148))*(((C146-C147)+1)/(2*(C146-C147))))+(E145-E148))),0)</f>
        <v>0</v>
      </c>
      <c r="D164" s="295"/>
      <c r="E164" s="295"/>
      <c r="F164" s="142"/>
      <c r="G164" s="17"/>
      <c r="H164" s="15"/>
      <c r="I164" s="213"/>
      <c r="J164" s="213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81" t="s">
        <v>416</v>
      </c>
      <c r="B165" s="331" t="s">
        <v>250</v>
      </c>
      <c r="C165" s="331"/>
      <c r="D165" s="303">
        <f>C162*C164/12/100</f>
        <v>0</v>
      </c>
      <c r="E165" s="303">
        <f>D165</f>
        <v>0</v>
      </c>
      <c r="F165" s="142"/>
      <c r="G165" s="17"/>
      <c r="H165" s="15"/>
      <c r="I165" s="213"/>
      <c r="J165" s="213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296" t="s">
        <v>275</v>
      </c>
      <c r="B166" s="143"/>
      <c r="C166" s="143"/>
      <c r="D166" s="42"/>
      <c r="E166" s="297">
        <f>E160+E165</f>
        <v>0</v>
      </c>
      <c r="F166" s="142"/>
      <c r="G166" s="17"/>
      <c r="H166" s="15"/>
      <c r="I166" s="213"/>
      <c r="J166" s="213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81" t="s">
        <v>276</v>
      </c>
      <c r="B167" s="331" t="s">
        <v>255</v>
      </c>
      <c r="C167" s="332">
        <f>C151</f>
        <v>1</v>
      </c>
      <c r="D167" s="303">
        <f>E166</f>
        <v>0</v>
      </c>
      <c r="E167" s="297">
        <f>C167*D167</f>
        <v>0</v>
      </c>
      <c r="F167" s="142"/>
      <c r="G167" s="17"/>
      <c r="H167" s="15"/>
      <c r="I167" s="213"/>
      <c r="J167" s="213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41"/>
      <c r="D168" s="205" t="s">
        <v>239</v>
      </c>
      <c r="E168" s="300">
        <f>$B$46</f>
        <v>1</v>
      </c>
      <c r="F168" s="327">
        <f>E167*E168</f>
        <v>0</v>
      </c>
      <c r="G168" s="17"/>
      <c r="H168" s="15"/>
      <c r="I168" s="213"/>
      <c r="J168" s="213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1.25" customHeight="1" x14ac:dyDescent="0.25">
      <c r="A169" s="15"/>
      <c r="B169" s="15"/>
      <c r="C169" s="15"/>
      <c r="D169" s="17"/>
      <c r="E169" s="17"/>
      <c r="F169" s="17"/>
      <c r="G169" s="17"/>
      <c r="H169" s="15"/>
      <c r="I169" s="213"/>
      <c r="J169" s="213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 t="s">
        <v>283</v>
      </c>
      <c r="B170" s="15"/>
      <c r="C170" s="15"/>
      <c r="D170" s="17"/>
      <c r="E170" s="17"/>
      <c r="F170" s="17"/>
      <c r="G170" s="17"/>
      <c r="H170" s="15"/>
      <c r="I170" s="213"/>
      <c r="J170" s="213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284" t="s">
        <v>227</v>
      </c>
      <c r="B171" s="285" t="s">
        <v>98</v>
      </c>
      <c r="C171" s="285" t="s">
        <v>55</v>
      </c>
      <c r="D171" s="286" t="s">
        <v>228</v>
      </c>
      <c r="E171" s="286" t="s">
        <v>229</v>
      </c>
      <c r="F171" s="287" t="s">
        <v>230</v>
      </c>
      <c r="G171" s="17"/>
      <c r="H171" s="15"/>
      <c r="I171" s="213"/>
      <c r="J171" s="213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289" t="s">
        <v>284</v>
      </c>
      <c r="B172" s="290" t="s">
        <v>255</v>
      </c>
      <c r="C172" s="292">
        <f>C151</f>
        <v>1</v>
      </c>
      <c r="D172" s="292">
        <f>0.01*($E$140)</f>
        <v>0</v>
      </c>
      <c r="E172" s="292">
        <f>C172*D172</f>
        <v>0</v>
      </c>
      <c r="F172" s="17"/>
      <c r="G172" s="17"/>
      <c r="H172" s="15"/>
      <c r="I172" s="213"/>
      <c r="J172" s="213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293" t="s">
        <v>285</v>
      </c>
      <c r="B173" s="294" t="s">
        <v>255</v>
      </c>
      <c r="C173" s="292">
        <f>C151</f>
        <v>1</v>
      </c>
      <c r="D173" s="313"/>
      <c r="E173" s="295">
        <f>C173*D173</f>
        <v>0</v>
      </c>
      <c r="F173" s="17"/>
      <c r="G173" s="17"/>
      <c r="H173" s="15"/>
      <c r="I173" s="213"/>
      <c r="J173" s="213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293" t="s">
        <v>286</v>
      </c>
      <c r="B174" s="294" t="s">
        <v>255</v>
      </c>
      <c r="C174" s="292">
        <f>C151</f>
        <v>1</v>
      </c>
      <c r="D174" s="313"/>
      <c r="E174" s="295">
        <f>C174*D174</f>
        <v>0</v>
      </c>
      <c r="F174" s="42"/>
      <c r="G174" s="17"/>
      <c r="H174" s="15"/>
      <c r="I174" s="213"/>
      <c r="J174" s="213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81" t="s">
        <v>287</v>
      </c>
      <c r="B175" s="331" t="s">
        <v>232</v>
      </c>
      <c r="C175" s="331">
        <v>12</v>
      </c>
      <c r="D175" s="303">
        <f>SUM(E172:E174)</f>
        <v>0</v>
      </c>
      <c r="E175" s="303">
        <f>D175/C175</f>
        <v>0</v>
      </c>
      <c r="F175" s="17"/>
      <c r="G175" s="17"/>
      <c r="H175" s="15"/>
      <c r="I175" s="213"/>
      <c r="J175" s="213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205" t="s">
        <v>239</v>
      </c>
      <c r="E176" s="300">
        <f>$B$46</f>
        <v>1</v>
      </c>
      <c r="F176" s="301">
        <f>E175*E176</f>
        <v>0</v>
      </c>
      <c r="G176" s="17"/>
      <c r="H176" s="15"/>
      <c r="I176" s="213"/>
      <c r="J176" s="213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1.25" customHeight="1" x14ac:dyDescent="0.25">
      <c r="A177" s="15"/>
      <c r="B177" s="15"/>
      <c r="C177" s="15"/>
      <c r="D177" s="17"/>
      <c r="E177" s="17"/>
      <c r="F177" s="17"/>
      <c r="G177" s="17"/>
      <c r="H177" s="15"/>
      <c r="I177" s="213"/>
      <c r="J177" s="213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 t="s">
        <v>288</v>
      </c>
      <c r="B178" s="215"/>
      <c r="C178" s="15"/>
      <c r="D178" s="17"/>
      <c r="E178" s="17"/>
      <c r="F178" s="17"/>
      <c r="G178" s="17"/>
      <c r="H178" s="15"/>
      <c r="I178" s="213"/>
      <c r="J178" s="213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215"/>
      <c r="C179" s="15"/>
      <c r="D179" s="17"/>
      <c r="E179" s="17"/>
      <c r="F179" s="17"/>
      <c r="G179" s="17"/>
      <c r="H179" s="15"/>
      <c r="I179" s="213"/>
      <c r="J179" s="213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81" t="s">
        <v>289</v>
      </c>
      <c r="B180" s="333">
        <v>761</v>
      </c>
      <c r="C180" s="15"/>
      <c r="D180" s="17"/>
      <c r="E180" s="17"/>
      <c r="F180" s="17"/>
      <c r="G180" s="17"/>
      <c r="H180" s="15"/>
      <c r="I180" s="213"/>
      <c r="J180" s="213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334" t="s">
        <v>290</v>
      </c>
      <c r="B181" s="335">
        <f>('0. Qtdades e Custos'!Y68)+'0. Qtdades e Custos'!Y69</f>
        <v>0</v>
      </c>
      <c r="C181" s="15"/>
      <c r="D181" s="17"/>
      <c r="E181" s="17"/>
      <c r="F181" s="17"/>
      <c r="G181" s="17"/>
      <c r="H181" s="15"/>
      <c r="I181" s="213"/>
      <c r="J181" s="213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215"/>
      <c r="C182" s="15"/>
      <c r="D182" s="17"/>
      <c r="E182" s="17"/>
      <c r="F182" s="17"/>
      <c r="G182" s="17"/>
      <c r="H182" s="15"/>
      <c r="I182" s="213"/>
      <c r="J182" s="213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284" t="s">
        <v>227</v>
      </c>
      <c r="B183" s="285" t="s">
        <v>98</v>
      </c>
      <c r="C183" s="285" t="s">
        <v>291</v>
      </c>
      <c r="D183" s="286" t="s">
        <v>228</v>
      </c>
      <c r="E183" s="286" t="s">
        <v>229</v>
      </c>
      <c r="F183" s="287" t="s">
        <v>230</v>
      </c>
      <c r="G183" s="17"/>
      <c r="H183" s="15"/>
      <c r="I183" s="213"/>
      <c r="J183" s="213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293" t="s">
        <v>292</v>
      </c>
      <c r="B184" s="290" t="s">
        <v>293</v>
      </c>
      <c r="C184" s="336">
        <f>B181</f>
        <v>0</v>
      </c>
      <c r="D184" s="337"/>
      <c r="E184" s="292"/>
      <c r="F184" s="17"/>
      <c r="G184" s="17"/>
      <c r="H184" s="15"/>
      <c r="I184" s="213"/>
      <c r="J184" s="213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334" t="s">
        <v>294</v>
      </c>
      <c r="B185" s="290" t="s">
        <v>295</v>
      </c>
      <c r="C185" s="307">
        <f>C184</f>
        <v>0</v>
      </c>
      <c r="D185" s="338"/>
      <c r="E185" s="295">
        <f>C185*D184</f>
        <v>0</v>
      </c>
      <c r="F185" s="17"/>
      <c r="G185" s="17"/>
      <c r="H185" s="15"/>
      <c r="I185" s="213"/>
      <c r="J185" s="213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7"/>
      <c r="E186" s="17"/>
      <c r="F186" s="327">
        <f>SUM(E184:E185)</f>
        <v>0</v>
      </c>
      <c r="G186" s="17"/>
      <c r="H186" s="15"/>
      <c r="I186" s="213"/>
      <c r="J186" s="213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1.25" customHeight="1" x14ac:dyDescent="0.25">
      <c r="A187" s="15"/>
      <c r="B187" s="15"/>
      <c r="C187" s="15"/>
      <c r="D187" s="17"/>
      <c r="E187" s="17"/>
      <c r="F187" s="17"/>
      <c r="G187" s="17"/>
      <c r="H187" s="15"/>
      <c r="I187" s="213"/>
      <c r="J187" s="213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 t="s">
        <v>296</v>
      </c>
      <c r="B188" s="15"/>
      <c r="C188" s="15"/>
      <c r="D188" s="17"/>
      <c r="E188" s="17"/>
      <c r="F188" s="17"/>
      <c r="G188" s="17"/>
      <c r="H188" s="15"/>
      <c r="I188" s="213"/>
      <c r="J188" s="213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284" t="s">
        <v>227</v>
      </c>
      <c r="B189" s="285" t="s">
        <v>98</v>
      </c>
      <c r="C189" s="285" t="s">
        <v>55</v>
      </c>
      <c r="D189" s="286" t="s">
        <v>228</v>
      </c>
      <c r="E189" s="286" t="s">
        <v>229</v>
      </c>
      <c r="F189" s="287" t="s">
        <v>230</v>
      </c>
      <c r="G189" s="17"/>
      <c r="H189" s="15"/>
      <c r="I189" s="213"/>
      <c r="J189" s="213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289" t="s">
        <v>426</v>
      </c>
      <c r="B190" s="290" t="s">
        <v>334</v>
      </c>
      <c r="C190" s="332">
        <f>'0. Qtdades e Custos'!S68/('0. Qtdades e Custos'!Q68*12)</f>
        <v>1.0714285714285714E-2</v>
      </c>
      <c r="D190" s="291">
        <f>'0. Qtdades e Custos'!N66</f>
        <v>0</v>
      </c>
      <c r="E190" s="292">
        <f>C190*D190</f>
        <v>0</v>
      </c>
      <c r="F190" s="17"/>
      <c r="G190" s="17"/>
      <c r="H190" s="15"/>
      <c r="I190" s="213"/>
      <c r="J190" s="213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420" t="s">
        <v>427</v>
      </c>
      <c r="B191" s="421"/>
      <c r="C191" s="421"/>
      <c r="D191" s="422"/>
      <c r="E191" s="17"/>
      <c r="F191" s="327">
        <f>E190</f>
        <v>0</v>
      </c>
      <c r="G191" s="17"/>
      <c r="H191" s="15"/>
      <c r="I191" s="213"/>
      <c r="J191" s="213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1.25" customHeight="1" x14ac:dyDescent="0.25">
      <c r="A192" s="15"/>
      <c r="B192" s="15"/>
      <c r="C192" s="15"/>
      <c r="D192" s="17"/>
      <c r="E192" s="17"/>
      <c r="F192" s="17"/>
      <c r="G192" s="17"/>
      <c r="H192" s="15"/>
      <c r="I192" s="213"/>
      <c r="J192" s="213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 t="s">
        <v>300</v>
      </c>
      <c r="B193" s="15"/>
      <c r="C193" s="15"/>
      <c r="D193" s="17"/>
      <c r="E193" s="17"/>
      <c r="F193" s="17"/>
      <c r="G193" s="17"/>
      <c r="H193" s="15"/>
      <c r="I193" s="213"/>
      <c r="J193" s="213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284" t="s">
        <v>227</v>
      </c>
      <c r="B194" s="285" t="s">
        <v>98</v>
      </c>
      <c r="C194" s="285" t="s">
        <v>55</v>
      </c>
      <c r="D194" s="286" t="s">
        <v>228</v>
      </c>
      <c r="E194" s="286" t="s">
        <v>229</v>
      </c>
      <c r="F194" s="287" t="s">
        <v>230</v>
      </c>
      <c r="G194" s="17"/>
      <c r="H194" s="15"/>
      <c r="I194" s="213"/>
      <c r="J194" s="213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289" t="s">
        <v>301</v>
      </c>
      <c r="B195" s="290" t="s">
        <v>255</v>
      </c>
      <c r="C195" s="341">
        <v>6</v>
      </c>
      <c r="D195" s="291"/>
      <c r="E195" s="292">
        <f>C195*D195</f>
        <v>0</v>
      </c>
      <c r="F195" s="17"/>
      <c r="G195" s="17"/>
      <c r="H195" s="15"/>
      <c r="I195" s="213"/>
      <c r="J195" s="213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289" t="s">
        <v>302</v>
      </c>
      <c r="B196" s="290" t="s">
        <v>255</v>
      </c>
      <c r="C196" s="341">
        <v>1</v>
      </c>
      <c r="D196" s="292"/>
      <c r="E196" s="292"/>
      <c r="F196" s="17"/>
      <c r="G196" s="17"/>
      <c r="H196" s="15"/>
      <c r="I196" s="213"/>
      <c r="J196" s="213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289" t="s">
        <v>303</v>
      </c>
      <c r="B197" s="290" t="s">
        <v>255</v>
      </c>
      <c r="C197" s="292">
        <f>C195*C196</f>
        <v>6</v>
      </c>
      <c r="D197" s="291"/>
      <c r="E197" s="292">
        <f>C197*D197</f>
        <v>0</v>
      </c>
      <c r="F197" s="17"/>
      <c r="G197" s="17"/>
      <c r="H197" s="15"/>
      <c r="I197" s="213"/>
      <c r="J197" s="213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293" t="s">
        <v>304</v>
      </c>
      <c r="B198" s="294" t="s">
        <v>305</v>
      </c>
      <c r="C198" s="342">
        <v>60000</v>
      </c>
      <c r="D198" s="295">
        <f>E195+E197</f>
        <v>0</v>
      </c>
      <c r="E198" s="295">
        <f>IFERROR(D198/C198,"-")</f>
        <v>0</v>
      </c>
      <c r="F198" s="17"/>
      <c r="G198" s="17"/>
      <c r="H198" s="15"/>
      <c r="I198" s="213"/>
      <c r="J198" s="213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293" t="s">
        <v>306</v>
      </c>
      <c r="B199" s="294" t="s">
        <v>307</v>
      </c>
      <c r="C199" s="307">
        <f>B180</f>
        <v>761</v>
      </c>
      <c r="D199" s="295">
        <f>E198</f>
        <v>0</v>
      </c>
      <c r="E199" s="295">
        <f>IFERROR(C199*D199,0)</f>
        <v>0</v>
      </c>
      <c r="F199" s="17"/>
      <c r="G199" s="17"/>
      <c r="H199" s="15"/>
      <c r="I199" s="213"/>
      <c r="J199" s="213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7"/>
      <c r="E200" s="17"/>
      <c r="F200" s="327">
        <f>E199</f>
        <v>0</v>
      </c>
      <c r="G200" s="17"/>
      <c r="H200" s="15"/>
      <c r="I200" s="213"/>
      <c r="J200" s="213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1.25" customHeight="1" x14ac:dyDescent="0.25">
      <c r="A201" s="15"/>
      <c r="B201" s="15"/>
      <c r="C201" s="15"/>
      <c r="D201" s="17"/>
      <c r="E201" s="17"/>
      <c r="F201" s="17"/>
      <c r="G201" s="17"/>
      <c r="H201" s="15"/>
      <c r="I201" s="213"/>
      <c r="J201" s="213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1.25" customHeight="1" x14ac:dyDescent="0.25">
      <c r="A202" s="347" t="s">
        <v>428</v>
      </c>
      <c r="B202" s="347"/>
      <c r="C202" s="347"/>
      <c r="D202" s="348"/>
      <c r="E202" s="348"/>
      <c r="F202" s="348"/>
      <c r="G202" s="17"/>
      <c r="H202" s="15"/>
      <c r="I202" s="213"/>
      <c r="J202" s="213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1.25" customHeight="1" x14ac:dyDescent="0.25">
      <c r="A203" s="349" t="s">
        <v>227</v>
      </c>
      <c r="B203" s="350" t="s">
        <v>98</v>
      </c>
      <c r="C203" s="350" t="s">
        <v>55</v>
      </c>
      <c r="D203" s="351" t="s">
        <v>228</v>
      </c>
      <c r="E203" s="351" t="s">
        <v>229</v>
      </c>
      <c r="F203" s="352" t="s">
        <v>312</v>
      </c>
      <c r="G203" s="17"/>
      <c r="H203" s="15"/>
      <c r="I203" s="213"/>
      <c r="J203" s="213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1.25" customHeight="1" x14ac:dyDescent="0.25">
      <c r="A204" s="353" t="s">
        <v>313</v>
      </c>
      <c r="B204" s="322" t="s">
        <v>314</v>
      </c>
      <c r="C204" s="322">
        <v>1</v>
      </c>
      <c r="D204" s="354">
        <f>'0. Qtdades e Custos'!D225</f>
        <v>0</v>
      </c>
      <c r="E204" s="355">
        <f>D204*C204</f>
        <v>0</v>
      </c>
      <c r="F204" s="356"/>
      <c r="G204" s="17"/>
      <c r="H204" s="15"/>
      <c r="I204" s="213"/>
      <c r="J204" s="213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1.25" customHeight="1" x14ac:dyDescent="0.25">
      <c r="A205" s="353" t="s">
        <v>315</v>
      </c>
      <c r="B205" s="322" t="s">
        <v>232</v>
      </c>
      <c r="C205" s="322">
        <v>60</v>
      </c>
      <c r="D205" s="355">
        <f>D204</f>
        <v>0</v>
      </c>
      <c r="E205" s="355">
        <f>D205/C205</f>
        <v>0</v>
      </c>
      <c r="F205" s="356"/>
      <c r="G205" s="17"/>
      <c r="H205" s="15"/>
      <c r="I205" s="213"/>
      <c r="J205" s="213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1.25" customHeight="1" x14ac:dyDescent="0.25">
      <c r="A206" s="353" t="s">
        <v>316</v>
      </c>
      <c r="B206" s="322" t="s">
        <v>317</v>
      </c>
      <c r="C206" s="322">
        <v>1</v>
      </c>
      <c r="D206" s="354">
        <f>'0. Qtdades e Custos'!D226</f>
        <v>0</v>
      </c>
      <c r="E206" s="355">
        <f>D206*C206</f>
        <v>0</v>
      </c>
      <c r="F206" s="356"/>
      <c r="G206" s="17"/>
      <c r="H206" s="15"/>
      <c r="I206" s="213"/>
      <c r="J206" s="213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1.25" customHeight="1" x14ac:dyDescent="0.25">
      <c r="A207" s="357" t="s">
        <v>318</v>
      </c>
      <c r="B207" s="358"/>
      <c r="C207" s="359"/>
      <c r="D207" s="360"/>
      <c r="E207" s="361">
        <f>E206+E205</f>
        <v>0</v>
      </c>
      <c r="F207" s="356"/>
      <c r="G207" s="17"/>
      <c r="H207" s="15"/>
      <c r="I207" s="213"/>
      <c r="J207" s="213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1.25" customHeight="1" x14ac:dyDescent="0.25">
      <c r="A208" s="347"/>
      <c r="B208" s="347"/>
      <c r="C208" s="347"/>
      <c r="D208" s="362" t="s">
        <v>239</v>
      </c>
      <c r="E208" s="363">
        <v>1</v>
      </c>
      <c r="F208" s="364">
        <f>(E207)*E208</f>
        <v>0</v>
      </c>
      <c r="G208" s="17"/>
      <c r="H208" s="15"/>
      <c r="I208" s="213"/>
      <c r="J208" s="213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1.25" customHeight="1" x14ac:dyDescent="0.25">
      <c r="A209" s="347"/>
      <c r="B209" s="347"/>
      <c r="C209" s="347"/>
      <c r="D209" s="348"/>
      <c r="E209" s="348"/>
      <c r="F209" s="348"/>
      <c r="G209" s="17"/>
      <c r="H209" s="15"/>
      <c r="I209" s="213"/>
      <c r="J209" s="213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1.25" customHeight="1" x14ac:dyDescent="0.25">
      <c r="A210" s="365" t="s">
        <v>319</v>
      </c>
      <c r="B210" s="366"/>
      <c r="C210" s="366"/>
      <c r="D210" s="367"/>
      <c r="E210" s="368"/>
      <c r="F210" s="369">
        <f>F208</f>
        <v>0</v>
      </c>
      <c r="G210" s="17"/>
      <c r="H210" s="15"/>
      <c r="I210" s="213"/>
      <c r="J210" s="213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1.25" customHeight="1" x14ac:dyDescent="0.25">
      <c r="A211" s="15"/>
      <c r="B211" s="15"/>
      <c r="C211" s="15"/>
      <c r="D211" s="17"/>
      <c r="E211" s="17"/>
      <c r="F211" s="17"/>
      <c r="G211" s="17"/>
      <c r="H211" s="15"/>
      <c r="I211" s="213"/>
      <c r="J211" s="213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316" t="s">
        <v>387</v>
      </c>
      <c r="B212" s="317"/>
      <c r="C212" s="317"/>
      <c r="D212" s="257"/>
      <c r="E212" s="318"/>
      <c r="F212" s="327">
        <f>+SUM(F140:F211)</f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1.25" customHeight="1" x14ac:dyDescent="0.25">
      <c r="A213" s="15"/>
      <c r="B213" s="15"/>
      <c r="C213" s="15"/>
      <c r="D213" s="17"/>
      <c r="E213" s="17"/>
      <c r="F213" s="17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1.25" customHeight="1" x14ac:dyDescent="0.25">
      <c r="A214" s="15"/>
      <c r="B214" s="15"/>
      <c r="C214" s="15"/>
      <c r="D214" s="17"/>
      <c r="E214" s="17"/>
      <c r="F214" s="17"/>
      <c r="G214" s="17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7.25" customHeight="1" x14ac:dyDescent="0.25">
      <c r="A215" s="316" t="s">
        <v>390</v>
      </c>
      <c r="B215" s="324"/>
      <c r="C215" s="324"/>
      <c r="D215" s="325"/>
      <c r="E215" s="326"/>
      <c r="F215" s="312">
        <f>+F97+F132+F212</f>
        <v>0</v>
      </c>
      <c r="G215" s="17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1.25" customHeight="1" x14ac:dyDescent="0.25">
      <c r="A216" s="15"/>
      <c r="B216" s="15"/>
      <c r="C216" s="15"/>
      <c r="D216" s="17"/>
      <c r="E216" s="17"/>
      <c r="F216" s="17"/>
      <c r="G216" s="17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44" t="s">
        <v>429</v>
      </c>
      <c r="B217" s="15"/>
      <c r="C217" s="15"/>
      <c r="D217" s="17"/>
      <c r="E217" s="17"/>
      <c r="F217" s="17"/>
      <c r="G217" s="17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1.25" customHeight="1" x14ac:dyDescent="0.25">
      <c r="A218" s="15"/>
      <c r="B218" s="15"/>
      <c r="C218" s="15"/>
      <c r="D218" s="17"/>
      <c r="E218" s="17"/>
      <c r="F218" s="17"/>
      <c r="G218" s="17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284" t="s">
        <v>227</v>
      </c>
      <c r="B219" s="285" t="s">
        <v>98</v>
      </c>
      <c r="C219" s="285" t="s">
        <v>55</v>
      </c>
      <c r="D219" s="286" t="s">
        <v>228</v>
      </c>
      <c r="E219" s="286" t="s">
        <v>229</v>
      </c>
      <c r="F219" s="287" t="s">
        <v>230</v>
      </c>
      <c r="G219" s="17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289" t="s">
        <v>392</v>
      </c>
      <c r="B220" s="290" t="s">
        <v>207</v>
      </c>
      <c r="C220" s="298">
        <f>'8. BDI'!C20*100</f>
        <v>24.84</v>
      </c>
      <c r="D220" s="292">
        <f>+F215</f>
        <v>0</v>
      </c>
      <c r="E220" s="292">
        <f>C220*D220/100</f>
        <v>0</v>
      </c>
      <c r="F220" s="17"/>
      <c r="G220" s="17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7"/>
      <c r="E221" s="17"/>
      <c r="F221" s="327">
        <f>+E220</f>
        <v>0</v>
      </c>
      <c r="G221" s="17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1.25" customHeight="1" x14ac:dyDescent="0.25">
      <c r="A222" s="15"/>
      <c r="B222" s="15"/>
      <c r="C222" s="15"/>
      <c r="D222" s="17"/>
      <c r="E222" s="17"/>
      <c r="F222" s="17"/>
      <c r="G222" s="17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316" t="s">
        <v>393</v>
      </c>
      <c r="B223" s="324"/>
      <c r="C223" s="324"/>
      <c r="D223" s="325"/>
      <c r="E223" s="326"/>
      <c r="F223" s="312">
        <f>F221</f>
        <v>0</v>
      </c>
      <c r="G223" s="17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44"/>
      <c r="B224" s="44"/>
      <c r="C224" s="44"/>
      <c r="D224" s="43"/>
      <c r="E224" s="43"/>
      <c r="F224" s="42"/>
      <c r="G224" s="17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44" t="s">
        <v>430</v>
      </c>
      <c r="B225" s="44"/>
      <c r="C225" s="44"/>
      <c r="D225" s="43"/>
      <c r="E225" s="43"/>
      <c r="F225" s="42"/>
      <c r="G225" s="17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44"/>
      <c r="B226" s="44"/>
      <c r="C226" s="44"/>
      <c r="D226" s="43"/>
      <c r="E226" s="43"/>
      <c r="F226" s="42"/>
      <c r="G226" s="17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389" t="s">
        <v>395</v>
      </c>
      <c r="B227" s="283">
        <v>0.2</v>
      </c>
      <c r="C227" s="44"/>
      <c r="D227" s="43"/>
      <c r="E227" s="43"/>
      <c r="F227" s="42"/>
      <c r="G227" s="17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390" t="s">
        <v>396</v>
      </c>
      <c r="B228" s="317"/>
      <c r="C228" s="317"/>
      <c r="D228" s="257"/>
      <c r="E228" s="318"/>
      <c r="F228" s="327">
        <f>'5. Equipe Técnica'!F323</f>
        <v>0</v>
      </c>
      <c r="G228" s="17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44"/>
      <c r="B229" s="44"/>
      <c r="C229" s="44"/>
      <c r="D229" s="43"/>
      <c r="E229" s="43"/>
      <c r="F229" s="42"/>
      <c r="G229" s="17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316" t="s">
        <v>397</v>
      </c>
      <c r="B230" s="324"/>
      <c r="C230" s="324"/>
      <c r="D230" s="325"/>
      <c r="E230" s="326"/>
      <c r="F230" s="312">
        <f>B227*F228</f>
        <v>0</v>
      </c>
      <c r="G230" s="17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44"/>
      <c r="B231" s="15"/>
      <c r="C231" s="15"/>
      <c r="D231" s="17"/>
      <c r="E231" s="17"/>
      <c r="F231" s="42"/>
      <c r="G231" s="17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1.25" customHeight="1" x14ac:dyDescent="0.25">
      <c r="A232" s="15"/>
      <c r="B232" s="15"/>
      <c r="C232" s="15"/>
      <c r="D232" s="17"/>
      <c r="E232" s="17"/>
      <c r="F232" s="17"/>
      <c r="G232" s="17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4.75" customHeight="1" x14ac:dyDescent="0.25">
      <c r="A233" s="316" t="s">
        <v>398</v>
      </c>
      <c r="B233" s="324"/>
      <c r="C233" s="324"/>
      <c r="D233" s="325"/>
      <c r="E233" s="326"/>
      <c r="F233" s="312">
        <f>F215+F223+F230</f>
        <v>0</v>
      </c>
      <c r="G233" s="17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" customHeight="1" x14ac:dyDescent="0.25">
      <c r="A234" s="16"/>
      <c r="B234" s="16"/>
      <c r="C234" s="16"/>
      <c r="D234" s="228"/>
      <c r="E234" s="228"/>
      <c r="F234" s="228"/>
      <c r="G234" s="17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391" t="s">
        <v>418</v>
      </c>
      <c r="B235" s="392"/>
      <c r="C235" s="392"/>
      <c r="D235" s="393">
        <v>761</v>
      </c>
      <c r="E235" s="394" t="s">
        <v>6</v>
      </c>
      <c r="F235" s="17"/>
      <c r="G235" s="17" t="s">
        <v>193</v>
      </c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7"/>
      <c r="E236" s="17"/>
      <c r="F236" s="17"/>
      <c r="G236" s="17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5.5" customHeight="1" x14ac:dyDescent="0.25">
      <c r="A237" s="316" t="s">
        <v>400</v>
      </c>
      <c r="B237" s="317"/>
      <c r="C237" s="317"/>
      <c r="D237" s="257"/>
      <c r="E237" s="395" t="s">
        <v>401</v>
      </c>
      <c r="F237" s="418">
        <f>IFERROR(F233/D235,"-")</f>
        <v>0</v>
      </c>
      <c r="G237" s="17" t="s">
        <v>193</v>
      </c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" customHeight="1" x14ac:dyDescent="0.25"/>
    <row r="239" spans="1:26" ht="9.75" customHeight="1" x14ac:dyDescent="0.25"/>
    <row r="240" spans="1:26" ht="9.75" customHeight="1" x14ac:dyDescent="0.25"/>
    <row r="241" ht="9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9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</sheetData>
  <mergeCells count="11">
    <mergeCell ref="A136:F136"/>
    <mergeCell ref="A36:E36"/>
    <mergeCell ref="A37:D37"/>
    <mergeCell ref="A42:D42"/>
    <mergeCell ref="A43:D43"/>
    <mergeCell ref="A44:D44"/>
    <mergeCell ref="A11:F11"/>
    <mergeCell ref="A12:F12"/>
    <mergeCell ref="A14:F14"/>
    <mergeCell ref="A22:C22"/>
    <mergeCell ref="A24:D24"/>
  </mergeCells>
  <hyperlinks>
    <hyperlink ref="A25" location="Google_Sheet_Link_242342722" display="    3.1.1. Depreciação    "/>
    <hyperlink ref="A26" location="Google_Sheet_Link_639513693" display="    3.1.2. Remuneração do Capital    "/>
    <hyperlink ref="A138" location="Google_Sheet_Link_242342722" display="3.1.1. Depreciação"/>
    <hyperlink ref="A154" location="Google_Sheet_Link_639513693" display="3.1.2. Remuneração do Capital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opLeftCell="A88" zoomScaleNormal="100" workbookViewId="0">
      <selection activeCell="G223" sqref="G223"/>
    </sheetView>
  </sheetViews>
  <sheetFormatPr defaultRowHeight="13.2" x14ac:dyDescent="0.25"/>
  <cols>
    <col min="1" max="1" width="44.6640625" customWidth="1"/>
    <col min="2" max="2" width="16" customWidth="1"/>
    <col min="3" max="3" width="11.88671875" customWidth="1"/>
    <col min="4" max="4" width="14.77734375" customWidth="1"/>
    <col min="5" max="5" width="15.33203125" customWidth="1"/>
    <col min="6" max="6" width="13.21875" customWidth="1"/>
    <col min="7" max="7" width="39.21875" customWidth="1"/>
    <col min="8" max="8" width="9.109375" customWidth="1"/>
    <col min="9" max="9" width="14.6640625" customWidth="1"/>
    <col min="10" max="10" width="13.33203125" customWidth="1"/>
    <col min="11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16" t="s">
        <v>194</v>
      </c>
      <c r="B1" s="15"/>
      <c r="C1" s="15"/>
      <c r="D1" s="17"/>
      <c r="E1" s="17"/>
      <c r="F1" s="17"/>
      <c r="G1" s="1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8" t="s">
        <v>195</v>
      </c>
      <c r="B2" s="15"/>
      <c r="C2" s="15"/>
      <c r="D2" s="17"/>
      <c r="E2" s="17"/>
      <c r="F2" s="17"/>
      <c r="G2" s="1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8" t="s">
        <v>196</v>
      </c>
      <c r="B3" s="15"/>
      <c r="C3" s="15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8" t="s">
        <v>197</v>
      </c>
      <c r="B4" s="15"/>
      <c r="C4" s="15"/>
      <c r="D4" s="17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 x14ac:dyDescent="0.25">
      <c r="A5" s="37" t="s">
        <v>198</v>
      </c>
      <c r="B5" s="15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231" t="s">
        <v>199</v>
      </c>
      <c r="B6" s="222"/>
      <c r="C6" s="222"/>
      <c r="D6" s="222"/>
      <c r="E6" s="222"/>
      <c r="F6" s="222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15"/>
      <c r="B7" s="222"/>
      <c r="C7" s="222"/>
      <c r="D7" s="222"/>
      <c r="E7" s="222"/>
      <c r="F7" s="222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18" t="s">
        <v>200</v>
      </c>
      <c r="B8" s="222"/>
      <c r="C8" s="222"/>
      <c r="D8" s="222"/>
      <c r="E8" s="222"/>
      <c r="F8" s="22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18" t="s">
        <v>201</v>
      </c>
      <c r="B9" s="222"/>
      <c r="C9" s="222"/>
      <c r="D9" s="222"/>
      <c r="E9" s="222"/>
      <c r="F9" s="222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5" customHeight="1" x14ac:dyDescent="0.25">
      <c r="A10" s="15"/>
      <c r="B10" s="222"/>
      <c r="C10" s="222"/>
      <c r="D10" s="17"/>
      <c r="E10" s="17"/>
      <c r="F10" s="17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 x14ac:dyDescent="0.25">
      <c r="A11" s="593" t="s">
        <v>431</v>
      </c>
      <c r="B11" s="593"/>
      <c r="C11" s="593"/>
      <c r="D11" s="593"/>
      <c r="E11" s="593"/>
      <c r="F11" s="593"/>
      <c r="G11" s="22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.75" customHeight="1" x14ac:dyDescent="0.25">
      <c r="A12" s="594" t="s">
        <v>203</v>
      </c>
      <c r="B12" s="594"/>
      <c r="C12" s="594"/>
      <c r="D12" s="594"/>
      <c r="E12" s="594"/>
      <c r="F12" s="594"/>
      <c r="G12" s="22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0.5" customHeight="1" x14ac:dyDescent="0.25">
      <c r="A13" s="232"/>
      <c r="B13" s="222"/>
      <c r="C13" s="222"/>
      <c r="D13" s="17"/>
      <c r="E13" s="17"/>
      <c r="F13" s="233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5">
      <c r="A14" s="595" t="s">
        <v>204</v>
      </c>
      <c r="B14" s="595"/>
      <c r="C14" s="595"/>
      <c r="D14" s="595"/>
      <c r="E14" s="595"/>
      <c r="F14" s="595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34" t="s">
        <v>205</v>
      </c>
      <c r="B15" s="235"/>
      <c r="C15" s="235"/>
      <c r="D15" s="236"/>
      <c r="E15" s="237" t="s">
        <v>206</v>
      </c>
      <c r="F15" s="238" t="s">
        <v>207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5">
      <c r="A16" s="239" t="str">
        <f>A50</f>
        <v>1. Mão-de-obra</v>
      </c>
      <c r="B16" s="240"/>
      <c r="C16" s="240"/>
      <c r="D16" s="240"/>
      <c r="E16" s="241">
        <f>+F94</f>
        <v>0</v>
      </c>
      <c r="F16" s="242">
        <f t="shared" ref="F16:F31" si="0">IFERROR(E16/$E$35,0)</f>
        <v>0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25">
      <c r="A17" s="243" t="str">
        <f>A52</f>
        <v>1.1. Operários/Agentes de Limpeza</v>
      </c>
      <c r="B17" s="244"/>
      <c r="C17" s="244"/>
      <c r="D17" s="244"/>
      <c r="E17" s="245">
        <f>F60</f>
        <v>0</v>
      </c>
      <c r="F17" s="246">
        <f t="shared" si="0"/>
        <v>0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5">
      <c r="A18" s="243" t="str">
        <f>A62</f>
        <v>1.2. Motorista Caminhão - Encarregado de Equipe</v>
      </c>
      <c r="B18" s="244"/>
      <c r="C18" s="244"/>
      <c r="D18" s="244"/>
      <c r="E18" s="245">
        <f>F72</f>
        <v>0</v>
      </c>
      <c r="F18" s="246">
        <f t="shared" si="0"/>
        <v>0</v>
      </c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5">
      <c r="A19" s="243" t="str">
        <f>A74</f>
        <v>1.3. Vale Transporte</v>
      </c>
      <c r="B19" s="244"/>
      <c r="C19" s="244"/>
      <c r="D19" s="244"/>
      <c r="E19" s="245">
        <f>F80</f>
        <v>0</v>
      </c>
      <c r="F19" s="246">
        <f t="shared" si="0"/>
        <v>0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243" t="str">
        <f>A82</f>
        <v>1.4. Vale-refeição (diário)</v>
      </c>
      <c r="B20" s="244"/>
      <c r="C20" s="244"/>
      <c r="D20" s="244"/>
      <c r="E20" s="245">
        <f>F86</f>
        <v>0</v>
      </c>
      <c r="F20" s="246">
        <f t="shared" si="0"/>
        <v>0</v>
      </c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243" t="str">
        <f>A88</f>
        <v>1.5. Auxílio Alimentação (mensal)</v>
      </c>
      <c r="B21" s="244"/>
      <c r="C21" s="244"/>
      <c r="D21" s="244"/>
      <c r="E21" s="245">
        <f>F92</f>
        <v>0</v>
      </c>
      <c r="F21" s="246">
        <f t="shared" si="0"/>
        <v>0</v>
      </c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596" t="str">
        <f>A96</f>
        <v>2. Uniformes e Equipamentos de Proteção Individual</v>
      </c>
      <c r="B22" s="596"/>
      <c r="C22" s="596"/>
      <c r="D22" s="240"/>
      <c r="E22" s="241">
        <f>+F133</f>
        <v>0</v>
      </c>
      <c r="F22" s="242">
        <f t="shared" si="0"/>
        <v>0</v>
      </c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 x14ac:dyDescent="0.25">
      <c r="A23" s="247" t="str">
        <f>A135</f>
        <v>3. Veículos e Equipamentos</v>
      </c>
      <c r="B23" s="248"/>
      <c r="C23" s="240"/>
      <c r="D23" s="240"/>
      <c r="E23" s="241">
        <f>+F207</f>
        <v>0</v>
      </c>
      <c r="F23" s="242">
        <f t="shared" si="0"/>
        <v>0</v>
      </c>
      <c r="G23" s="4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32.25" customHeight="1" x14ac:dyDescent="0.25">
      <c r="A24" s="597" t="str">
        <f>A45</f>
        <v xml:space="preserve">3.1. Caminhão toco, Pot. Min. 150 CV com carroceria fixa, aberta, de madeira, e com cabine suplementar para 6 passageiros, com capacidade total de no mínimo 08 passageiros. (2 na cabine frontal, 6 na cabine suplementar)
</v>
      </c>
      <c r="B24" s="597"/>
      <c r="C24" s="597"/>
      <c r="D24" s="597"/>
      <c r="E24" s="245">
        <f>SUM(E25:E30)</f>
        <v>0</v>
      </c>
      <c r="F24" s="246">
        <f t="shared" si="0"/>
        <v>0</v>
      </c>
      <c r="G24" s="1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249" t="s">
        <v>208</v>
      </c>
      <c r="B25" s="250"/>
      <c r="C25" s="244"/>
      <c r="D25" s="244"/>
      <c r="E25" s="245">
        <f>F148</f>
        <v>0</v>
      </c>
      <c r="F25" s="246">
        <f t="shared" si="0"/>
        <v>0</v>
      </c>
      <c r="G25" s="1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249" t="s">
        <v>209</v>
      </c>
      <c r="B26" s="250"/>
      <c r="C26" s="244"/>
      <c r="D26" s="244"/>
      <c r="E26" s="245">
        <f>F159</f>
        <v>0</v>
      </c>
      <c r="F26" s="246">
        <f t="shared" si="0"/>
        <v>0</v>
      </c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251" t="str">
        <f>A161</f>
        <v>3.1.3. Impostos e Seguros - Caminhão</v>
      </c>
      <c r="B27" s="250"/>
      <c r="C27" s="244"/>
      <c r="D27" s="244"/>
      <c r="E27" s="245">
        <f>F167</f>
        <v>0</v>
      </c>
      <c r="F27" s="246">
        <f t="shared" si="0"/>
        <v>0</v>
      </c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251" t="str">
        <f>A169</f>
        <v>3.1.4. Consumos</v>
      </c>
      <c r="B28" s="250"/>
      <c r="C28" s="244"/>
      <c r="D28" s="244"/>
      <c r="E28" s="245">
        <f>F177</f>
        <v>0</v>
      </c>
      <c r="F28" s="246">
        <f t="shared" si="0"/>
        <v>0</v>
      </c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251" t="str">
        <f>A179</f>
        <v>3.1.5. Manutenção</v>
      </c>
      <c r="B29" s="250"/>
      <c r="C29" s="244"/>
      <c r="D29" s="244"/>
      <c r="E29" s="245">
        <f>F182</f>
        <v>0</v>
      </c>
      <c r="F29" s="246">
        <f t="shared" si="0"/>
        <v>0</v>
      </c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251" t="str">
        <f>A184</f>
        <v>3.1.6. Pneus</v>
      </c>
      <c r="B30" s="250"/>
      <c r="C30" s="244"/>
      <c r="D30" s="244"/>
      <c r="E30" s="245">
        <f>F191</f>
        <v>0</v>
      </c>
      <c r="F30" s="246">
        <f t="shared" si="0"/>
        <v>0</v>
      </c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251" t="str">
        <f>A193</f>
        <v>3.1.7. Locação de Banheiro Químico</v>
      </c>
      <c r="B31" s="248"/>
      <c r="C31" s="240"/>
      <c r="D31" s="240"/>
      <c r="E31" s="241">
        <f>F195</f>
        <v>0</v>
      </c>
      <c r="F31" s="246">
        <f t="shared" si="0"/>
        <v>0</v>
      </c>
      <c r="G31" s="4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5.75" customHeight="1" x14ac:dyDescent="0.25">
      <c r="A32" s="251" t="str">
        <f>A197</f>
        <v>3.1.8. Monitoramento da Frota</v>
      </c>
      <c r="B32" s="248"/>
      <c r="C32" s="240"/>
      <c r="D32" s="240"/>
      <c r="E32" s="241"/>
      <c r="F32" s="246"/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 x14ac:dyDescent="0.25">
      <c r="A33" s="247" t="str">
        <f>A209</f>
        <v>4. Ferramentas, Materiais de Consumo e EPC</v>
      </c>
      <c r="B33" s="248"/>
      <c r="C33" s="240"/>
      <c r="D33" s="240"/>
      <c r="E33" s="241">
        <f>+F219</f>
        <v>0</v>
      </c>
      <c r="F33" s="242">
        <f>IFERROR(E33/$E$35,0)</f>
        <v>0</v>
      </c>
      <c r="G33" s="4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 x14ac:dyDescent="0.25">
      <c r="A34" s="247" t="str">
        <f>A223</f>
        <v>5. Benefícios e Despesas Indiretas - BDI</v>
      </c>
      <c r="B34" s="248"/>
      <c r="C34" s="240"/>
      <c r="D34" s="240"/>
      <c r="E34" s="254">
        <f>+F229</f>
        <v>0</v>
      </c>
      <c r="F34" s="242">
        <f>IFERROR(E34/$E$35,0)</f>
        <v>0</v>
      </c>
      <c r="G34" s="4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25">
      <c r="A35" s="255" t="s">
        <v>218</v>
      </c>
      <c r="B35" s="256"/>
      <c r="C35" s="257"/>
      <c r="D35" s="257"/>
      <c r="E35" s="258">
        <f>E16+E22+E23+E33+E34</f>
        <v>0</v>
      </c>
      <c r="F35" s="259">
        <f>F16+F22+F23+F33+F34</f>
        <v>0</v>
      </c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5">
      <c r="A36" s="15"/>
      <c r="B36" s="15"/>
      <c r="C36" s="15"/>
      <c r="D36" s="17"/>
      <c r="E36" s="17"/>
      <c r="F36" s="17"/>
      <c r="G36" s="1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5">
      <c r="A37" s="15"/>
      <c r="B37" s="15"/>
      <c r="C37" s="15"/>
      <c r="D37" s="17"/>
      <c r="E37" s="17"/>
      <c r="F37" s="17"/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" customHeight="1" x14ac:dyDescent="0.25">
      <c r="A38" s="595" t="s">
        <v>219</v>
      </c>
      <c r="B38" s="595"/>
      <c r="C38" s="595"/>
      <c r="D38" s="595"/>
      <c r="E38" s="595"/>
      <c r="F38" s="17"/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" customHeight="1" x14ac:dyDescent="0.25">
      <c r="A39" s="598" t="s">
        <v>220</v>
      </c>
      <c r="B39" s="598"/>
      <c r="C39" s="598"/>
      <c r="D39" s="598"/>
      <c r="E39" s="260" t="s">
        <v>55</v>
      </c>
      <c r="F39" s="17"/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" customHeight="1" x14ac:dyDescent="0.25">
      <c r="A40" s="261" t="str">
        <f>+A52</f>
        <v>1.1. Operários/Agentes de Limpeza</v>
      </c>
      <c r="B40" s="235"/>
      <c r="C40" s="235"/>
      <c r="D40" s="262"/>
      <c r="E40" s="263">
        <f>C59</f>
        <v>21</v>
      </c>
      <c r="F40" s="17"/>
      <c r="G40" s="1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" customHeight="1" x14ac:dyDescent="0.25">
      <c r="A41" s="264" t="str">
        <f>A62</f>
        <v>1.2. Motorista Caminhão - Encarregado de Equipe</v>
      </c>
      <c r="B41" s="265"/>
      <c r="C41" s="265"/>
      <c r="D41" s="266"/>
      <c r="E41" s="267">
        <f>C71</f>
        <v>3</v>
      </c>
      <c r="F41" s="17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" customHeight="1" x14ac:dyDescent="0.25">
      <c r="A42" s="268" t="s">
        <v>221</v>
      </c>
      <c r="B42" s="269"/>
      <c r="C42" s="269"/>
      <c r="D42" s="270"/>
      <c r="E42" s="271">
        <f>SUM(E40:E41)</f>
        <v>24</v>
      </c>
      <c r="F42" s="17"/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" customHeight="1" x14ac:dyDescent="0.25">
      <c r="A43" s="272"/>
      <c r="B43" s="121"/>
      <c r="C43" s="17"/>
      <c r="D43" s="17"/>
      <c r="E43" s="17"/>
      <c r="F43" s="17"/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 x14ac:dyDescent="0.25">
      <c r="A44" s="599" t="s">
        <v>222</v>
      </c>
      <c r="B44" s="599"/>
      <c r="C44" s="599"/>
      <c r="D44" s="599"/>
      <c r="E44" s="260" t="s">
        <v>55</v>
      </c>
      <c r="F44" s="15"/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2.25" customHeight="1" x14ac:dyDescent="0.25">
      <c r="A45" s="597" t="str">
        <f>A137</f>
        <v xml:space="preserve">3.1. Caminhão toco, Pot. Min. 150 CV com carroceria fixa, aberta, de madeira, e com cabine suplementar para 6 passageiros, com capacidade total de no mínimo 08 passageiros. (2 na cabine frontal, 6 na cabine suplementar)
</v>
      </c>
      <c r="B45" s="597"/>
      <c r="C45" s="597"/>
      <c r="D45" s="597"/>
      <c r="E45" s="273">
        <f>C147</f>
        <v>3</v>
      </c>
      <c r="F45" s="15"/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" customHeight="1" x14ac:dyDescent="0.25">
      <c r="A46" s="600" t="s">
        <v>223</v>
      </c>
      <c r="B46" s="600"/>
      <c r="C46" s="600"/>
      <c r="D46" s="600"/>
      <c r="E46" s="281">
        <f>SUM(E45)</f>
        <v>3</v>
      </c>
      <c r="F46" s="15"/>
      <c r="G46" s="1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" customHeight="1" x14ac:dyDescent="0.25">
      <c r="A47" s="17"/>
      <c r="B47" s="17"/>
      <c r="C47" s="17"/>
      <c r="D47" s="15"/>
      <c r="E47" s="120"/>
      <c r="F47" s="15"/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282" t="s">
        <v>224</v>
      </c>
      <c r="B48" s="283">
        <v>1</v>
      </c>
      <c r="C48" s="43"/>
      <c r="D48" s="44"/>
      <c r="E48" s="217"/>
      <c r="F48" s="44"/>
      <c r="G48" s="43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5">
      <c r="A49" s="17"/>
      <c r="B49" s="17"/>
      <c r="C49" s="17"/>
      <c r="D49" s="15"/>
      <c r="E49" s="158"/>
      <c r="F49" s="15"/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44" t="s">
        <v>225</v>
      </c>
      <c r="B50" s="15"/>
      <c r="C50" s="15"/>
      <c r="D50" s="17"/>
      <c r="E50" s="17"/>
      <c r="F50" s="17"/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1.25" customHeight="1" x14ac:dyDescent="0.25">
      <c r="A51" s="15"/>
      <c r="B51" s="15"/>
      <c r="C51" s="15"/>
      <c r="D51" s="17"/>
      <c r="E51" s="17"/>
      <c r="F51" s="17"/>
      <c r="G51" s="1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3.5" customHeight="1" x14ac:dyDescent="0.25">
      <c r="A52" s="15" t="s">
        <v>226</v>
      </c>
      <c r="B52" s="15"/>
      <c r="C52" s="15"/>
      <c r="D52" s="17"/>
      <c r="E52" s="17"/>
      <c r="F52" s="17"/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3.5" customHeight="1" x14ac:dyDescent="0.25">
      <c r="A53" s="284" t="s">
        <v>227</v>
      </c>
      <c r="B53" s="285" t="s">
        <v>98</v>
      </c>
      <c r="C53" s="285" t="s">
        <v>55</v>
      </c>
      <c r="D53" s="286" t="s">
        <v>228</v>
      </c>
      <c r="E53" s="286" t="s">
        <v>229</v>
      </c>
      <c r="F53" s="287" t="s">
        <v>230</v>
      </c>
      <c r="G53" s="288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289" t="s">
        <v>231</v>
      </c>
      <c r="B54" s="290" t="s">
        <v>232</v>
      </c>
      <c r="C54" s="290">
        <v>1</v>
      </c>
      <c r="D54" s="291"/>
      <c r="E54" s="292">
        <f>C54*D54</f>
        <v>0</v>
      </c>
      <c r="F54" s="17"/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5">
      <c r="A55" s="293" t="s">
        <v>233</v>
      </c>
      <c r="B55" s="294" t="s">
        <v>207</v>
      </c>
      <c r="C55" s="294">
        <v>40</v>
      </c>
      <c r="D55" s="295">
        <f>SUM(E54)</f>
        <v>0</v>
      </c>
      <c r="E55" s="295">
        <f>C55*D55/100</f>
        <v>0</v>
      </c>
      <c r="F55" s="17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5">
      <c r="A56" s="296" t="s">
        <v>234</v>
      </c>
      <c r="B56" s="143"/>
      <c r="C56" s="143"/>
      <c r="D56" s="42"/>
      <c r="E56" s="297">
        <f>SUM(E54:E55)</f>
        <v>0</v>
      </c>
      <c r="F56" s="17"/>
      <c r="G56" s="1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293" t="s">
        <v>235</v>
      </c>
      <c r="B57" s="294" t="s">
        <v>207</v>
      </c>
      <c r="C57" s="298">
        <f>'6. Encargos Sociais'!$C$37*100</f>
        <v>71.22548900000001</v>
      </c>
      <c r="D57" s="295">
        <f>E56</f>
        <v>0</v>
      </c>
      <c r="E57" s="295">
        <f>D57*C57/100</f>
        <v>0</v>
      </c>
      <c r="F57" s="17"/>
      <c r="G57" s="1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296" t="s">
        <v>236</v>
      </c>
      <c r="B58" s="143"/>
      <c r="C58" s="143"/>
      <c r="D58" s="42"/>
      <c r="E58" s="297">
        <f>E56+E57</f>
        <v>0</v>
      </c>
      <c r="F58" s="17"/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293" t="s">
        <v>237</v>
      </c>
      <c r="B59" s="294" t="s">
        <v>238</v>
      </c>
      <c r="C59" s="299">
        <f>'0. Qtdades e Custos'!F19</f>
        <v>21</v>
      </c>
      <c r="D59" s="295">
        <f>E58</f>
        <v>0</v>
      </c>
      <c r="E59" s="295">
        <f>C59*D59</f>
        <v>0</v>
      </c>
      <c r="F59" s="17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3.5" customHeight="1" x14ac:dyDescent="0.25">
      <c r="A60" s="15"/>
      <c r="B60" s="15"/>
      <c r="C60" s="15"/>
      <c r="D60" s="205" t="s">
        <v>239</v>
      </c>
      <c r="E60" s="300">
        <f>$B$48</f>
        <v>1</v>
      </c>
      <c r="F60" s="301">
        <f>E59*E60</f>
        <v>0</v>
      </c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1.25" customHeight="1" x14ac:dyDescent="0.25">
      <c r="A61" s="15"/>
      <c r="B61" s="15"/>
      <c r="C61" s="15"/>
      <c r="D61" s="17"/>
      <c r="E61" s="17"/>
      <c r="F61" s="17"/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15" t="s">
        <v>432</v>
      </c>
      <c r="B62" s="15"/>
      <c r="C62" s="15"/>
      <c r="D62" s="17"/>
      <c r="E62" s="17"/>
      <c r="F62" s="17"/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284" t="s">
        <v>227</v>
      </c>
      <c r="B63" s="285" t="s">
        <v>98</v>
      </c>
      <c r="C63" s="285" t="s">
        <v>55</v>
      </c>
      <c r="D63" s="286" t="s">
        <v>228</v>
      </c>
      <c r="E63" s="286" t="s">
        <v>229</v>
      </c>
      <c r="F63" s="287" t="s">
        <v>230</v>
      </c>
      <c r="G63" s="288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2.75" customHeight="1" x14ac:dyDescent="0.25">
      <c r="A64" s="289" t="s">
        <v>242</v>
      </c>
      <c r="B64" s="290" t="s">
        <v>232</v>
      </c>
      <c r="C64" s="290">
        <v>1</v>
      </c>
      <c r="D64" s="291"/>
      <c r="E64" s="292">
        <f>C64*D64</f>
        <v>0</v>
      </c>
      <c r="F64" s="17"/>
      <c r="G64" s="1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289" t="s">
        <v>243</v>
      </c>
      <c r="B65" s="290" t="s">
        <v>232</v>
      </c>
      <c r="C65" s="294">
        <v>1</v>
      </c>
      <c r="D65" s="291">
        <v>1518</v>
      </c>
      <c r="E65" s="292"/>
      <c r="F65" s="17"/>
      <c r="G65" s="1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293" t="s">
        <v>244</v>
      </c>
      <c r="B66" s="294"/>
      <c r="C66" s="302"/>
      <c r="D66" s="295"/>
      <c r="E66" s="295"/>
      <c r="F66" s="17"/>
      <c r="G66" s="1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293" t="s">
        <v>233</v>
      </c>
      <c r="B67" s="294" t="s">
        <v>207</v>
      </c>
      <c r="C67" s="299">
        <v>40</v>
      </c>
      <c r="D67" s="295">
        <f>IF(C66=2,SUM(E64:E65),IF(C66=1,(SUM(E64:E65))*D65/D64,0))</f>
        <v>0</v>
      </c>
      <c r="E67" s="295">
        <f>C67*D67/100</f>
        <v>0</v>
      </c>
      <c r="F67" s="17"/>
      <c r="G67" s="1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181" t="s">
        <v>234</v>
      </c>
      <c r="B68" s="143"/>
      <c r="C68" s="143"/>
      <c r="D68" s="42"/>
      <c r="E68" s="303">
        <f>SUM(E64:E67)</f>
        <v>0</v>
      </c>
      <c r="F68" s="43"/>
      <c r="G68" s="43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.75" customHeight="1" x14ac:dyDescent="0.25">
      <c r="A69" s="293" t="s">
        <v>235</v>
      </c>
      <c r="B69" s="294" t="s">
        <v>207</v>
      </c>
      <c r="C69" s="298">
        <f>'6. Encargos Sociais'!$C$37*100</f>
        <v>71.22548900000001</v>
      </c>
      <c r="D69" s="295">
        <f>E68</f>
        <v>0</v>
      </c>
      <c r="E69" s="295">
        <f>D69*C69/100</f>
        <v>0</v>
      </c>
      <c r="F69" s="17"/>
      <c r="G69" s="1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181" t="s">
        <v>245</v>
      </c>
      <c r="B70" s="304"/>
      <c r="C70" s="304"/>
      <c r="D70" s="305"/>
      <c r="E70" s="303">
        <f>E68+E69</f>
        <v>0</v>
      </c>
      <c r="F70" s="43"/>
      <c r="G70" s="43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.75" customHeight="1" x14ac:dyDescent="0.25">
      <c r="A71" s="293" t="s">
        <v>237</v>
      </c>
      <c r="B71" s="294" t="s">
        <v>238</v>
      </c>
      <c r="C71" s="299">
        <f>'0. Qtdades e Custos'!F23</f>
        <v>3</v>
      </c>
      <c r="D71" s="295">
        <f>E70</f>
        <v>0</v>
      </c>
      <c r="E71" s="295">
        <f>C71*D71</f>
        <v>0</v>
      </c>
      <c r="F71" s="17"/>
      <c r="G71" s="1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5">
      <c r="A72" s="15"/>
      <c r="B72" s="15"/>
      <c r="C72" s="15"/>
      <c r="D72" s="205" t="s">
        <v>239</v>
      </c>
      <c r="E72" s="300">
        <f>$B$48</f>
        <v>1</v>
      </c>
      <c r="F72" s="301">
        <f>E71*E72</f>
        <v>0</v>
      </c>
      <c r="G72" s="1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1.25" customHeight="1" x14ac:dyDescent="0.25">
      <c r="A73" s="15"/>
      <c r="B73" s="15"/>
      <c r="C73" s="15"/>
      <c r="D73" s="17"/>
      <c r="E73" s="17"/>
      <c r="F73" s="17"/>
      <c r="G73" s="1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5">
      <c r="A74" s="15" t="s">
        <v>420</v>
      </c>
      <c r="B74" s="306"/>
      <c r="C74" s="15"/>
      <c r="D74" s="15"/>
      <c r="E74" s="15"/>
      <c r="F74" s="17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284" t="s">
        <v>227</v>
      </c>
      <c r="B75" s="285" t="s">
        <v>98</v>
      </c>
      <c r="C75" s="285" t="s">
        <v>55</v>
      </c>
      <c r="D75" s="286" t="s">
        <v>228</v>
      </c>
      <c r="E75" s="286" t="s">
        <v>229</v>
      </c>
      <c r="F75" s="287" t="s">
        <v>230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5">
      <c r="A76" s="293" t="s">
        <v>249</v>
      </c>
      <c r="B76" s="294" t="s">
        <v>250</v>
      </c>
      <c r="C76" s="307">
        <v>1</v>
      </c>
      <c r="D76" s="308"/>
      <c r="E76" s="295"/>
      <c r="F76" s="17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5">
      <c r="A77" s="293" t="s">
        <v>251</v>
      </c>
      <c r="B77" s="294" t="s">
        <v>252</v>
      </c>
      <c r="C77" s="309">
        <v>25.25</v>
      </c>
      <c r="D77" s="295"/>
      <c r="E77" s="295"/>
      <c r="F77" s="17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5">
      <c r="A78" s="293" t="str">
        <f>A52</f>
        <v>1.1. Operários/Agentes de Limpeza</v>
      </c>
      <c r="B78" s="294" t="s">
        <v>253</v>
      </c>
      <c r="C78" s="310">
        <f>$C$77*2*(C59)</f>
        <v>1060.5</v>
      </c>
      <c r="D78" s="292">
        <f>IFERROR((($C$77*2*$D$76)-(E54*0.06*$C$77/26))/($C$77*2),"-")</f>
        <v>0</v>
      </c>
      <c r="E78" s="295">
        <f>IFERROR(C78*D78,"-")</f>
        <v>0</v>
      </c>
      <c r="F78" s="17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293" t="str">
        <f>A62</f>
        <v>1.2. Motorista Caminhão - Encarregado de Equipe</v>
      </c>
      <c r="B79" s="294" t="s">
        <v>253</v>
      </c>
      <c r="C79" s="310">
        <f>$C$77*2*(C71)</f>
        <v>151.5</v>
      </c>
      <c r="D79" s="292">
        <f>IFERROR((($C$77*2*$D$76)-(E64*0.06*$C$77/26))/($C$77*2),"-")</f>
        <v>0</v>
      </c>
      <c r="E79" s="295">
        <f>IFERROR(C79*D79,"-")</f>
        <v>0</v>
      </c>
      <c r="F79" s="17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15"/>
      <c r="B80" s="15"/>
      <c r="C80" s="15"/>
      <c r="D80" s="17"/>
      <c r="E80" s="17"/>
      <c r="F80" s="312">
        <f>SUM(E78:E79)</f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1.25" customHeight="1" x14ac:dyDescent="0.25">
      <c r="A81" s="15"/>
      <c r="B81" s="15"/>
      <c r="C81" s="15"/>
      <c r="D81" s="17"/>
      <c r="E81" s="17"/>
      <c r="F81" s="17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15" t="s">
        <v>421</v>
      </c>
      <c r="B82" s="15"/>
      <c r="C82" s="15"/>
      <c r="D82" s="17"/>
      <c r="E82" s="17"/>
      <c r="F82" s="43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284" t="s">
        <v>227</v>
      </c>
      <c r="B83" s="285" t="s">
        <v>98</v>
      </c>
      <c r="C83" s="285" t="s">
        <v>55</v>
      </c>
      <c r="D83" s="286" t="s">
        <v>228</v>
      </c>
      <c r="E83" s="286" t="s">
        <v>229</v>
      </c>
      <c r="F83" s="287" t="s">
        <v>230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293" t="str">
        <f>+A78</f>
        <v>1.1. Operários/Agentes de Limpeza</v>
      </c>
      <c r="B84" s="294" t="s">
        <v>255</v>
      </c>
      <c r="C84" s="310">
        <f>$C$77*(E40)</f>
        <v>530.25</v>
      </c>
      <c r="D84" s="313"/>
      <c r="E84" s="300">
        <f>C84*D84</f>
        <v>0</v>
      </c>
      <c r="F84" s="43"/>
      <c r="G84" s="288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293" t="str">
        <f>+A79</f>
        <v>1.2. Motorista Caminhão - Encarregado de Equipe</v>
      </c>
      <c r="B85" s="294" t="s">
        <v>255</v>
      </c>
      <c r="C85" s="310">
        <f>$C$77*(E41)</f>
        <v>75.75</v>
      </c>
      <c r="D85" s="313"/>
      <c r="E85" s="300">
        <f>C85*D85</f>
        <v>0</v>
      </c>
      <c r="F85" s="43"/>
      <c r="G85" s="288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7"/>
      <c r="E86" s="17"/>
      <c r="F86" s="312">
        <f>SUM(E84:E85)</f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7"/>
      <c r="E87" s="17"/>
      <c r="F87" s="17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 t="s">
        <v>422</v>
      </c>
      <c r="B88" s="15"/>
      <c r="C88" s="15"/>
      <c r="D88" s="17"/>
      <c r="E88" s="17"/>
      <c r="F88" s="43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284" t="s">
        <v>227</v>
      </c>
      <c r="B89" s="285" t="s">
        <v>98</v>
      </c>
      <c r="C89" s="285" t="s">
        <v>55</v>
      </c>
      <c r="D89" s="286" t="s">
        <v>228</v>
      </c>
      <c r="E89" s="286" t="s">
        <v>229</v>
      </c>
      <c r="F89" s="287" t="s">
        <v>230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293" t="str">
        <f>+A84</f>
        <v>1.1. Operários/Agentes de Limpeza</v>
      </c>
      <c r="B90" s="294" t="s">
        <v>255</v>
      </c>
      <c r="C90" s="310">
        <f>E40</f>
        <v>21</v>
      </c>
      <c r="D90" s="313">
        <v>0</v>
      </c>
      <c r="E90" s="300">
        <f>C90*D90</f>
        <v>0</v>
      </c>
      <c r="F90" s="43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293" t="str">
        <f>+A85</f>
        <v>1.2. Motorista Caminhão - Encarregado de Equipe</v>
      </c>
      <c r="B91" s="294" t="s">
        <v>255</v>
      </c>
      <c r="C91" s="310">
        <f>E41</f>
        <v>3</v>
      </c>
      <c r="D91" s="313"/>
      <c r="E91" s="300">
        <f>C91*D91</f>
        <v>0</v>
      </c>
      <c r="F91" s="43"/>
      <c r="G91" s="288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205" t="s">
        <v>239</v>
      </c>
      <c r="E92" s="300">
        <f>$B$48</f>
        <v>1</v>
      </c>
      <c r="F92" s="312">
        <f>SUM(E90:E91)*E92</f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7"/>
      <c r="E93" s="17"/>
      <c r="F93" s="1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316" t="s">
        <v>257</v>
      </c>
      <c r="B94" s="317"/>
      <c r="C94" s="317"/>
      <c r="D94" s="257"/>
      <c r="E94" s="318"/>
      <c r="F94" s="312">
        <f>F60+F72+F80+F86+F92</f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7"/>
      <c r="E95" s="17"/>
      <c r="F95" s="17"/>
      <c r="G95" s="1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44" t="s">
        <v>258</v>
      </c>
      <c r="B96" s="15"/>
      <c r="C96" s="15"/>
      <c r="D96" s="17"/>
      <c r="E96" s="17"/>
      <c r="F96" s="1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1.25" customHeight="1" x14ac:dyDescent="0.25">
      <c r="A97" s="15"/>
      <c r="B97" s="15"/>
      <c r="C97" s="15"/>
      <c r="D97" s="17"/>
      <c r="E97" s="17"/>
      <c r="F97" s="1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3.5" customHeight="1" x14ac:dyDescent="0.25">
      <c r="A98" s="15" t="s">
        <v>259</v>
      </c>
      <c r="B98" s="15"/>
      <c r="C98" s="15"/>
      <c r="D98" s="17"/>
      <c r="E98" s="17"/>
      <c r="F98" s="1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1.25" customHeight="1" x14ac:dyDescent="0.25">
      <c r="A99" s="15"/>
      <c r="B99" s="15"/>
      <c r="C99" s="15"/>
      <c r="D99" s="17"/>
      <c r="E99" s="17"/>
      <c r="F99" s="1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7.75" customHeight="1" x14ac:dyDescent="0.25">
      <c r="A100" s="284" t="s">
        <v>227</v>
      </c>
      <c r="B100" s="285" t="s">
        <v>98</v>
      </c>
      <c r="C100" s="319" t="s">
        <v>260</v>
      </c>
      <c r="D100" s="286" t="s">
        <v>228</v>
      </c>
      <c r="E100" s="286" t="s">
        <v>229</v>
      </c>
      <c r="F100" s="287" t="s">
        <v>230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320" t="s">
        <v>134</v>
      </c>
      <c r="B101" s="290" t="s">
        <v>255</v>
      </c>
      <c r="C101" s="321">
        <f>12/'0. Qtdades e Custos'!C145</f>
        <v>12</v>
      </c>
      <c r="D101" s="291">
        <f>VLOOKUP(A101,'0. Qtdades e Custos'!$B$198:$F$212,4,0)</f>
        <v>0</v>
      </c>
      <c r="E101" s="292">
        <f t="shared" ref="E101:E112" si="1">IFERROR(D101/C101,0)</f>
        <v>0</v>
      </c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289" t="s">
        <v>135</v>
      </c>
      <c r="B102" s="294" t="s">
        <v>255</v>
      </c>
      <c r="C102" s="321">
        <f>12/'0. Qtdades e Custos'!C146</f>
        <v>2</v>
      </c>
      <c r="D102" s="291">
        <f>VLOOKUP(A102,'0. Qtdades e Custos'!$B$198:$F$212,4,0)</f>
        <v>0</v>
      </c>
      <c r="E102" s="292">
        <f t="shared" si="1"/>
        <v>0</v>
      </c>
      <c r="F102" s="1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320" t="s">
        <v>136</v>
      </c>
      <c r="B103" s="294" t="s">
        <v>255</v>
      </c>
      <c r="C103" s="321">
        <f>12/'0. Qtdades e Custos'!C147</f>
        <v>2</v>
      </c>
      <c r="D103" s="291">
        <f>VLOOKUP(A103,'0. Qtdades e Custos'!$B$198:$F$212,4,0)</f>
        <v>0</v>
      </c>
      <c r="E103" s="292">
        <f t="shared" si="1"/>
        <v>0</v>
      </c>
      <c r="F103" s="17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320" t="s">
        <v>137</v>
      </c>
      <c r="B104" s="294" t="s">
        <v>255</v>
      </c>
      <c r="C104" s="321">
        <f>12/'0. Qtdades e Custos'!C148</f>
        <v>2</v>
      </c>
      <c r="D104" s="291">
        <f>VLOOKUP(A104,'0. Qtdades e Custos'!$B$198:$F$212,4,0)</f>
        <v>0</v>
      </c>
      <c r="E104" s="292">
        <f t="shared" si="1"/>
        <v>0</v>
      </c>
      <c r="F104" s="1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289" t="s">
        <v>138</v>
      </c>
      <c r="B105" s="294" t="s">
        <v>255</v>
      </c>
      <c r="C105" s="321">
        <f>12/'0. Qtdades e Custos'!C149</f>
        <v>4</v>
      </c>
      <c r="D105" s="291">
        <f>VLOOKUP(A105,'0. Qtdades e Custos'!$B$198:$F$212,4,0)</f>
        <v>0</v>
      </c>
      <c r="E105" s="292">
        <f t="shared" si="1"/>
        <v>0</v>
      </c>
      <c r="F105" s="1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289" t="s">
        <v>139</v>
      </c>
      <c r="B106" s="294" t="s">
        <v>255</v>
      </c>
      <c r="C106" s="321">
        <f>12/'0. Qtdades e Custos'!C150</f>
        <v>4</v>
      </c>
      <c r="D106" s="291">
        <f>VLOOKUP(A106,'0. Qtdades e Custos'!$B$198:$F$212,4,0)</f>
        <v>0</v>
      </c>
      <c r="E106" s="292">
        <f t="shared" si="1"/>
        <v>0</v>
      </c>
      <c r="F106" s="1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293" t="s">
        <v>140</v>
      </c>
      <c r="B107" s="294" t="s">
        <v>255</v>
      </c>
      <c r="C107" s="321">
        <f>12/'0. Qtdades e Custos'!C151</f>
        <v>1</v>
      </c>
      <c r="D107" s="291">
        <f>VLOOKUP(A107,'0. Qtdades e Custos'!$B$198:$F$212,4,0)</f>
        <v>0</v>
      </c>
      <c r="E107" s="292">
        <f t="shared" si="1"/>
        <v>0</v>
      </c>
      <c r="F107" s="1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293" t="s">
        <v>141</v>
      </c>
      <c r="B108" s="294" t="s">
        <v>255</v>
      </c>
      <c r="C108" s="321">
        <f>12/'0. Qtdades e Custos'!C152</f>
        <v>4</v>
      </c>
      <c r="D108" s="291">
        <f>VLOOKUP(A108,'0. Qtdades e Custos'!$B$198:$F$212,4,0)</f>
        <v>0</v>
      </c>
      <c r="E108" s="292">
        <f t="shared" si="1"/>
        <v>0</v>
      </c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293" t="s">
        <v>142</v>
      </c>
      <c r="B109" s="294" t="s">
        <v>255</v>
      </c>
      <c r="C109" s="321">
        <f>12/'0. Qtdades e Custos'!C153</f>
        <v>4</v>
      </c>
      <c r="D109" s="291">
        <f>VLOOKUP(A109,'0. Qtdades e Custos'!$B$198:$F$212,4,0)</f>
        <v>0</v>
      </c>
      <c r="E109" s="292">
        <f t="shared" si="1"/>
        <v>0</v>
      </c>
      <c r="F109" s="1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3.5" customHeight="1" x14ac:dyDescent="0.25">
      <c r="A110" s="293" t="s">
        <v>143</v>
      </c>
      <c r="B110" s="294" t="s">
        <v>171</v>
      </c>
      <c r="C110" s="321">
        <f>12/'0. Qtdades e Custos'!C154</f>
        <v>0.5</v>
      </c>
      <c r="D110" s="291">
        <f>VLOOKUP(A110,'0. Qtdades e Custos'!$B$198:$F$212,4,0)</f>
        <v>0</v>
      </c>
      <c r="E110" s="292">
        <f t="shared" si="1"/>
        <v>0</v>
      </c>
      <c r="F110" s="1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293" t="s">
        <v>144</v>
      </c>
      <c r="B111" s="294" t="s">
        <v>255</v>
      </c>
      <c r="C111" s="321">
        <f>12/'0. Qtdades e Custos'!C155</f>
        <v>1.3333333333333333</v>
      </c>
      <c r="D111" s="291">
        <f>VLOOKUP(A111,'0. Qtdades e Custos'!$B$198:$F$212,4,0)</f>
        <v>0</v>
      </c>
      <c r="E111" s="292">
        <f t="shared" si="1"/>
        <v>0</v>
      </c>
      <c r="F111" s="17"/>
      <c r="G111" s="1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293" t="s">
        <v>145</v>
      </c>
      <c r="B112" s="294" t="s">
        <v>171</v>
      </c>
      <c r="C112" s="321">
        <f>12/'0. Qtdades e Custos'!C156</f>
        <v>2</v>
      </c>
      <c r="D112" s="291">
        <f>VLOOKUP(A112,'0. Qtdades e Custos'!$B$198:$F$212,4,0)</f>
        <v>0</v>
      </c>
      <c r="E112" s="292">
        <f t="shared" si="1"/>
        <v>0</v>
      </c>
      <c r="F112" s="17"/>
      <c r="G112" s="1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293" t="s">
        <v>237</v>
      </c>
      <c r="B113" s="294" t="s">
        <v>238</v>
      </c>
      <c r="C113" s="323">
        <f>E40</f>
        <v>21</v>
      </c>
      <c r="D113" s="295">
        <f>+SUM(E101:E112)</f>
        <v>0</v>
      </c>
      <c r="E113" s="295">
        <f>C113*D113</f>
        <v>0</v>
      </c>
      <c r="F113" s="17"/>
      <c r="G113" s="17"/>
      <c r="H113" s="15"/>
      <c r="I113" s="15"/>
      <c r="J113" s="15"/>
      <c r="K113" s="15"/>
      <c r="L113" s="15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5">
      <c r="A114" s="15"/>
      <c r="B114" s="15"/>
      <c r="C114" s="15"/>
      <c r="D114" s="205" t="s">
        <v>239</v>
      </c>
      <c r="E114" s="300">
        <f>$B$48</f>
        <v>1</v>
      </c>
      <c r="F114" s="301">
        <f>E113*E114</f>
        <v>0</v>
      </c>
      <c r="G114" s="17"/>
      <c r="H114" s="15"/>
      <c r="I114" s="15"/>
      <c r="J114" s="15"/>
      <c r="K114" s="15"/>
      <c r="L114" s="15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1.25" customHeight="1" x14ac:dyDescent="0.25">
      <c r="A115" s="15"/>
      <c r="B115" s="15"/>
      <c r="C115" s="15"/>
      <c r="D115" s="17"/>
      <c r="E115" s="17"/>
      <c r="F115" s="17"/>
      <c r="G115" s="17"/>
      <c r="H115" s="15"/>
      <c r="I115" s="15"/>
      <c r="J115" s="15"/>
      <c r="K115" s="15"/>
      <c r="L115" s="15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1.25" customHeight="1" x14ac:dyDescent="0.25">
      <c r="A116" s="15" t="s">
        <v>433</v>
      </c>
      <c r="B116" s="15"/>
      <c r="C116" s="15"/>
      <c r="D116" s="17"/>
      <c r="E116" s="17"/>
      <c r="F116" s="17"/>
      <c r="G116" s="17"/>
      <c r="H116" s="15"/>
      <c r="I116" s="15"/>
      <c r="J116" s="15"/>
      <c r="K116" s="15"/>
      <c r="L116" s="15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1.25" customHeight="1" x14ac:dyDescent="0.25">
      <c r="A117" s="15"/>
      <c r="B117" s="15"/>
      <c r="C117" s="15"/>
      <c r="D117" s="17"/>
      <c r="E117" s="17"/>
      <c r="F117" s="17"/>
      <c r="G117" s="17"/>
      <c r="H117" s="15"/>
      <c r="I117" s="15"/>
      <c r="J117" s="15"/>
      <c r="K117" s="15"/>
      <c r="L117" s="15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1.25" customHeight="1" x14ac:dyDescent="0.25">
      <c r="A118" s="284" t="s">
        <v>227</v>
      </c>
      <c r="B118" s="285" t="s">
        <v>98</v>
      </c>
      <c r="C118" s="319" t="s">
        <v>260</v>
      </c>
      <c r="D118" s="286" t="s">
        <v>228</v>
      </c>
      <c r="E118" s="286" t="s">
        <v>229</v>
      </c>
      <c r="F118" s="287" t="s">
        <v>230</v>
      </c>
      <c r="G118" s="17"/>
      <c r="H118" s="15"/>
      <c r="I118" s="15"/>
      <c r="J118" s="15"/>
      <c r="K118" s="15"/>
      <c r="L118" s="15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1.25" customHeight="1" x14ac:dyDescent="0.25">
      <c r="A119" s="320" t="s">
        <v>134</v>
      </c>
      <c r="B119" s="290" t="s">
        <v>255</v>
      </c>
      <c r="C119" s="321">
        <f>12/'0. Qtdades e Custos'!F145</f>
        <v>12</v>
      </c>
      <c r="D119" s="291">
        <f>VLOOKUP(A119,'0. Qtdades e Custos'!$B$198:$F$212,4,0)</f>
        <v>0</v>
      </c>
      <c r="E119" s="292">
        <f t="shared" ref="E119:E126" si="2">IFERROR(D119/C119,0)</f>
        <v>0</v>
      </c>
      <c r="F119" s="17"/>
      <c r="G119" s="17"/>
      <c r="H119" s="15"/>
      <c r="I119" s="15"/>
      <c r="J119" s="15"/>
      <c r="K119" s="15"/>
      <c r="L119" s="15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1.25" customHeight="1" x14ac:dyDescent="0.25">
      <c r="A120" s="289" t="s">
        <v>135</v>
      </c>
      <c r="B120" s="294" t="s">
        <v>255</v>
      </c>
      <c r="C120" s="321">
        <f>12/'0. Qtdades e Custos'!F146</f>
        <v>2</v>
      </c>
      <c r="D120" s="291">
        <f>VLOOKUP(A120,'0. Qtdades e Custos'!$B$198:$F$212,4,0)</f>
        <v>0</v>
      </c>
      <c r="E120" s="292">
        <f t="shared" si="2"/>
        <v>0</v>
      </c>
      <c r="F120" s="17"/>
      <c r="G120" s="17"/>
      <c r="H120" s="15"/>
      <c r="I120" s="15"/>
      <c r="J120" s="15"/>
      <c r="K120" s="15"/>
      <c r="L120" s="15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6.25" customHeight="1" x14ac:dyDescent="0.25">
      <c r="A121" s="320" t="s">
        <v>136</v>
      </c>
      <c r="B121" s="294" t="s">
        <v>255</v>
      </c>
      <c r="C121" s="321">
        <f>12/'0. Qtdades e Custos'!F147</f>
        <v>2</v>
      </c>
      <c r="D121" s="291">
        <f>VLOOKUP(A121,'0. Qtdades e Custos'!$B$198:$F$212,4,0)</f>
        <v>0</v>
      </c>
      <c r="E121" s="292">
        <f t="shared" si="2"/>
        <v>0</v>
      </c>
      <c r="F121" s="17"/>
      <c r="G121" s="17"/>
      <c r="H121" s="15"/>
      <c r="I121" s="15"/>
      <c r="J121" s="15"/>
      <c r="K121" s="15"/>
      <c r="L121" s="15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5.5" customHeight="1" x14ac:dyDescent="0.25">
      <c r="A122" s="320" t="s">
        <v>137</v>
      </c>
      <c r="B122" s="294" t="s">
        <v>255</v>
      </c>
      <c r="C122" s="321">
        <f>12/'0. Qtdades e Custos'!F148</f>
        <v>2</v>
      </c>
      <c r="D122" s="291">
        <f>VLOOKUP(A122,'0. Qtdades e Custos'!$B$198:$F$212,4,0)</f>
        <v>0</v>
      </c>
      <c r="E122" s="292">
        <f t="shared" si="2"/>
        <v>0</v>
      </c>
      <c r="F122" s="17"/>
      <c r="G122" s="17"/>
      <c r="H122" s="15"/>
      <c r="I122" s="15"/>
      <c r="J122" s="15"/>
      <c r="K122" s="15"/>
      <c r="L122" s="15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1.25" customHeight="1" x14ac:dyDescent="0.25">
      <c r="A123" s="289" t="s">
        <v>138</v>
      </c>
      <c r="B123" s="294" t="s">
        <v>255</v>
      </c>
      <c r="C123" s="321">
        <f>12/'0. Qtdades e Custos'!F149</f>
        <v>12</v>
      </c>
      <c r="D123" s="291">
        <f>VLOOKUP(A123,'0. Qtdades e Custos'!$B$198:$F$212,4,0)</f>
        <v>0</v>
      </c>
      <c r="E123" s="292">
        <f t="shared" si="2"/>
        <v>0</v>
      </c>
      <c r="F123" s="17"/>
      <c r="G123" s="17"/>
      <c r="H123" s="15"/>
      <c r="I123" s="15"/>
      <c r="J123" s="15"/>
      <c r="K123" s="15"/>
      <c r="L123" s="15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1.25" customHeight="1" x14ac:dyDescent="0.25">
      <c r="A124" s="289" t="s">
        <v>139</v>
      </c>
      <c r="B124" s="294" t="s">
        <v>255</v>
      </c>
      <c r="C124" s="321">
        <f>12/'0. Qtdades e Custos'!F150</f>
        <v>12</v>
      </c>
      <c r="D124" s="291">
        <f>VLOOKUP(A124,'0. Qtdades e Custos'!$B$198:$F$212,4,0)</f>
        <v>0</v>
      </c>
      <c r="E124" s="292">
        <f t="shared" si="2"/>
        <v>0</v>
      </c>
      <c r="F124" s="17"/>
      <c r="G124" s="17"/>
      <c r="H124" s="15"/>
      <c r="I124" s="15"/>
      <c r="J124" s="15"/>
      <c r="K124" s="15"/>
      <c r="L124" s="15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1.25" customHeight="1" x14ac:dyDescent="0.25">
      <c r="A125" s="293" t="s">
        <v>141</v>
      </c>
      <c r="B125" s="294" t="s">
        <v>255</v>
      </c>
      <c r="C125" s="321">
        <f>12/'0. Qtdades e Custos'!F152</f>
        <v>12</v>
      </c>
      <c r="D125" s="291">
        <f>VLOOKUP(A125,'0. Qtdades e Custos'!$B$198:$F$212,4,0)</f>
        <v>0</v>
      </c>
      <c r="E125" s="292">
        <f t="shared" si="2"/>
        <v>0</v>
      </c>
      <c r="F125" s="17"/>
      <c r="G125" s="17"/>
      <c r="H125" s="15"/>
      <c r="I125" s="15"/>
      <c r="J125" s="15"/>
      <c r="K125" s="15"/>
      <c r="L125" s="15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1.25" customHeight="1" x14ac:dyDescent="0.25">
      <c r="A126" s="293" t="s">
        <v>142</v>
      </c>
      <c r="B126" s="294" t="s">
        <v>255</v>
      </c>
      <c r="C126" s="321">
        <f>12/'0. Qtdades e Custos'!F153</f>
        <v>12</v>
      </c>
      <c r="D126" s="291">
        <f>VLOOKUP(A126,'0. Qtdades e Custos'!$B$198:$F$212,4,0)</f>
        <v>0</v>
      </c>
      <c r="E126" s="292">
        <f t="shared" si="2"/>
        <v>0</v>
      </c>
      <c r="F126" s="17"/>
      <c r="G126" s="17"/>
      <c r="H126" s="15"/>
      <c r="I126" s="15"/>
      <c r="J126" s="15"/>
      <c r="K126" s="15"/>
      <c r="L126" s="15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1.25" customHeight="1" x14ac:dyDescent="0.25">
      <c r="A127" s="293" t="s">
        <v>144</v>
      </c>
      <c r="B127" s="294" t="s">
        <v>255</v>
      </c>
      <c r="C127" s="321">
        <f>12/'0. Qtdades e Custos'!F155</f>
        <v>12</v>
      </c>
      <c r="D127" s="291">
        <f>VLOOKUP(A127,'0. Qtdades e Custos'!$B$198:$F$212,4,0)</f>
        <v>0</v>
      </c>
      <c r="E127" s="292"/>
      <c r="F127" s="17"/>
      <c r="G127" s="17"/>
      <c r="H127" s="15"/>
      <c r="I127" s="15"/>
      <c r="J127" s="15"/>
      <c r="K127" s="15"/>
      <c r="L127" s="15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1.25" customHeight="1" x14ac:dyDescent="0.25">
      <c r="A128" s="293" t="s">
        <v>145</v>
      </c>
      <c r="B128" s="294" t="s">
        <v>171</v>
      </c>
      <c r="C128" s="321">
        <f>12/'0. Qtdades e Custos'!F156</f>
        <v>2</v>
      </c>
      <c r="D128" s="291">
        <f>VLOOKUP(A128,'0. Qtdades e Custos'!$B$198:$F$212,4,0)</f>
        <v>0</v>
      </c>
      <c r="E128" s="292">
        <f>IFERROR(D128/C128,0)</f>
        <v>0</v>
      </c>
      <c r="F128" s="17"/>
      <c r="G128" s="17"/>
      <c r="H128" s="15"/>
      <c r="I128" s="15"/>
      <c r="J128" s="15"/>
      <c r="K128" s="15"/>
      <c r="L128" s="15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1.25" customHeight="1" x14ac:dyDescent="0.25">
      <c r="A129" s="293" t="s">
        <v>237</v>
      </c>
      <c r="B129" s="294" t="s">
        <v>238</v>
      </c>
      <c r="C129" s="323">
        <f>E41</f>
        <v>3</v>
      </c>
      <c r="D129" s="295">
        <f>+SUM(E119:E128)</f>
        <v>0</v>
      </c>
      <c r="E129" s="295">
        <f>C129*D129</f>
        <v>0</v>
      </c>
      <c r="F129" s="17"/>
      <c r="G129" s="1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1.25" customHeight="1" x14ac:dyDescent="0.25">
      <c r="A130" s="15"/>
      <c r="B130" s="15"/>
      <c r="C130" s="15"/>
      <c r="D130" s="205" t="s">
        <v>239</v>
      </c>
      <c r="E130" s="300">
        <f>$B$48</f>
        <v>1</v>
      </c>
      <c r="F130" s="301">
        <f>E129*E130</f>
        <v>0</v>
      </c>
      <c r="G130" s="1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1.25" customHeight="1" x14ac:dyDescent="0.25">
      <c r="A131" s="15"/>
      <c r="B131" s="15"/>
      <c r="C131" s="15"/>
      <c r="D131" s="17"/>
      <c r="E131" s="17"/>
      <c r="F131" s="17"/>
      <c r="G131" s="17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1.25" customHeight="1" x14ac:dyDescent="0.25">
      <c r="A132" s="15"/>
      <c r="B132" s="15"/>
      <c r="C132" s="15"/>
      <c r="D132" s="17"/>
      <c r="E132" s="17"/>
      <c r="F132" s="1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316" t="s">
        <v>265</v>
      </c>
      <c r="B133" s="324"/>
      <c r="C133" s="324"/>
      <c r="D133" s="325"/>
      <c r="E133" s="326"/>
      <c r="F133" s="327">
        <f>+F114+F130</f>
        <v>0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1.25" customHeight="1" x14ac:dyDescent="0.25">
      <c r="A134" s="15"/>
      <c r="B134" s="15"/>
      <c r="C134" s="15"/>
      <c r="D134" s="17"/>
      <c r="E134" s="17"/>
      <c r="F134" s="1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44" t="s">
        <v>266</v>
      </c>
      <c r="B135" s="15"/>
      <c r="C135" s="15"/>
      <c r="D135" s="17"/>
      <c r="E135" s="17"/>
      <c r="F135" s="1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1.25" customHeight="1" x14ac:dyDescent="0.25">
      <c r="A136" s="15"/>
      <c r="B136" s="211"/>
      <c r="C136" s="15"/>
      <c r="D136" s="17"/>
      <c r="E136" s="17"/>
      <c r="F136" s="1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33" customHeight="1" x14ac:dyDescent="0.25">
      <c r="A137" s="602" t="s">
        <v>434</v>
      </c>
      <c r="B137" s="602"/>
      <c r="C137" s="602"/>
      <c r="D137" s="602"/>
      <c r="E137" s="602"/>
      <c r="F137" s="602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1.25" customHeight="1" x14ac:dyDescent="0.25">
      <c r="A138" s="15"/>
      <c r="B138" s="15"/>
      <c r="C138" s="15"/>
      <c r="D138" s="17"/>
      <c r="E138" s="17"/>
      <c r="F138" s="1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211" t="s">
        <v>268</v>
      </c>
      <c r="B139" s="15"/>
      <c r="C139" s="15"/>
      <c r="D139" s="17"/>
      <c r="E139" s="17"/>
      <c r="F139" s="1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284" t="s">
        <v>227</v>
      </c>
      <c r="B140" s="285" t="s">
        <v>98</v>
      </c>
      <c r="C140" s="285" t="s">
        <v>55</v>
      </c>
      <c r="D140" s="286" t="s">
        <v>228</v>
      </c>
      <c r="E140" s="286" t="s">
        <v>229</v>
      </c>
      <c r="F140" s="287" t="s">
        <v>230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289" t="s">
        <v>269</v>
      </c>
      <c r="B141" s="290" t="s">
        <v>255</v>
      </c>
      <c r="C141" s="290">
        <v>1</v>
      </c>
      <c r="D141" s="291">
        <f>'0. Qtdades e Custos'!N70</f>
        <v>0</v>
      </c>
      <c r="E141" s="292">
        <f>C141*D141</f>
        <v>0</v>
      </c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293" t="s">
        <v>270</v>
      </c>
      <c r="B142" s="294" t="s">
        <v>271</v>
      </c>
      <c r="C142" s="321">
        <f>'0. Qtdades e Custos'!Q70</f>
        <v>7</v>
      </c>
      <c r="D142" s="295"/>
      <c r="E142" s="295"/>
      <c r="F142" s="1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293" t="s">
        <v>272</v>
      </c>
      <c r="B143" s="294" t="s">
        <v>271</v>
      </c>
      <c r="C143" s="299">
        <v>0</v>
      </c>
      <c r="D143" s="295"/>
      <c r="E143" s="295"/>
      <c r="F143" s="142"/>
      <c r="G143" s="17"/>
      <c r="H143" s="15"/>
      <c r="I143" s="213"/>
      <c r="J143" s="213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293" t="s">
        <v>273</v>
      </c>
      <c r="B144" s="294" t="s">
        <v>207</v>
      </c>
      <c r="C144" s="298">
        <f>IFERROR(VLOOKUP(C142,'9. Depreciação'!A3:B17,2,0),0)</f>
        <v>60.29</v>
      </c>
      <c r="D144" s="295">
        <f>E141</f>
        <v>0</v>
      </c>
      <c r="E144" s="295">
        <f>C144*D144/100</f>
        <v>0</v>
      </c>
      <c r="F144" s="17"/>
      <c r="G144" s="1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328" t="s">
        <v>274</v>
      </c>
      <c r="B145" s="329" t="s">
        <v>232</v>
      </c>
      <c r="C145" s="329">
        <f>C142*12</f>
        <v>84</v>
      </c>
      <c r="D145" s="330">
        <f>IF(C143&lt;=C142,E144,0)</f>
        <v>0</v>
      </c>
      <c r="E145" s="330">
        <f>IFERROR(D145/C145,0)</f>
        <v>0</v>
      </c>
      <c r="F145" s="17"/>
      <c r="G145" s="17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296" t="s">
        <v>275</v>
      </c>
      <c r="B146" s="143"/>
      <c r="C146" s="143"/>
      <c r="D146" s="42"/>
      <c r="E146" s="297">
        <f>E145</f>
        <v>0</v>
      </c>
      <c r="F146" s="17"/>
      <c r="G146" s="1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81" t="s">
        <v>276</v>
      </c>
      <c r="B147" s="331" t="s">
        <v>255</v>
      </c>
      <c r="C147" s="321">
        <f>'0. Qtdades e Custos'!P70</f>
        <v>3</v>
      </c>
      <c r="D147" s="303">
        <f>E146</f>
        <v>0</v>
      </c>
      <c r="E147" s="297">
        <f>C147*D147</f>
        <v>0</v>
      </c>
      <c r="F147" s="17"/>
      <c r="G147" s="1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214"/>
      <c r="B148" s="214"/>
      <c r="C148" s="214"/>
      <c r="D148" s="205" t="s">
        <v>239</v>
      </c>
      <c r="E148" s="300">
        <f>$B$48</f>
        <v>1</v>
      </c>
      <c r="F148" s="327">
        <f>E147*E148</f>
        <v>0</v>
      </c>
      <c r="G148" s="1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1.25" customHeight="1" x14ac:dyDescent="0.25">
      <c r="A149" s="15"/>
      <c r="B149" s="15"/>
      <c r="C149" s="15"/>
      <c r="D149" s="17"/>
      <c r="E149" s="17"/>
      <c r="F149" s="17"/>
      <c r="G149" s="1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211" t="s">
        <v>277</v>
      </c>
      <c r="B150" s="15"/>
      <c r="C150" s="15"/>
      <c r="D150" s="17"/>
      <c r="E150" s="17"/>
      <c r="F150" s="17"/>
      <c r="G150" s="1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284" t="s">
        <v>227</v>
      </c>
      <c r="B151" s="285" t="s">
        <v>98</v>
      </c>
      <c r="C151" s="285" t="s">
        <v>55</v>
      </c>
      <c r="D151" s="286" t="s">
        <v>228</v>
      </c>
      <c r="E151" s="286" t="s">
        <v>229</v>
      </c>
      <c r="F151" s="287" t="s">
        <v>230</v>
      </c>
      <c r="G151" s="17"/>
      <c r="H151" s="15"/>
      <c r="I151" s="213"/>
      <c r="J151" s="213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289" t="s">
        <v>278</v>
      </c>
      <c r="B152" s="290" t="s">
        <v>255</v>
      </c>
      <c r="C152" s="290">
        <v>1</v>
      </c>
      <c r="D152" s="292">
        <f>D141</f>
        <v>0</v>
      </c>
      <c r="E152" s="292">
        <f>C152*D152</f>
        <v>0</v>
      </c>
      <c r="F152" s="142"/>
      <c r="G152" s="17"/>
      <c r="H152" s="15"/>
      <c r="I152" s="213"/>
      <c r="J152" s="213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293" t="s">
        <v>279</v>
      </c>
      <c r="B153" s="294" t="s">
        <v>207</v>
      </c>
      <c r="C153" s="299">
        <v>14.75</v>
      </c>
      <c r="D153" s="295"/>
      <c r="E153" s="295"/>
      <c r="F153" s="142"/>
      <c r="G153" s="17"/>
      <c r="H153" s="15"/>
      <c r="I153" s="213"/>
      <c r="J153" s="213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293" t="s">
        <v>280</v>
      </c>
      <c r="B154" s="294" t="s">
        <v>250</v>
      </c>
      <c r="C154" s="295">
        <f>IFERROR(IF(C143&lt;=C142,E141-(C144/(100*C142)*C143)*E141,E141-E144),0)</f>
        <v>0</v>
      </c>
      <c r="D154" s="295"/>
      <c r="E154" s="295"/>
      <c r="F154" s="142"/>
      <c r="G154" s="17"/>
      <c r="H154" s="15"/>
      <c r="I154" s="213"/>
      <c r="J154" s="213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293" t="s">
        <v>281</v>
      </c>
      <c r="B155" s="294" t="s">
        <v>250</v>
      </c>
      <c r="C155" s="295">
        <f>IFERROR(IF(C143&gt;=C142,C154,((((C154)-(E141-E144))*(((C142-C143)+1)/(2*(C142-C143))))+(E141-E144))),0)</f>
        <v>0</v>
      </c>
      <c r="D155" s="295"/>
      <c r="E155" s="295"/>
      <c r="F155" s="142"/>
      <c r="G155" s="17"/>
      <c r="H155" s="15"/>
      <c r="I155" s="213"/>
      <c r="J155" s="213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328" t="s">
        <v>282</v>
      </c>
      <c r="B156" s="329" t="s">
        <v>250</v>
      </c>
      <c r="C156" s="329"/>
      <c r="D156" s="330">
        <f>C153*C155/12/100</f>
        <v>0</v>
      </c>
      <c r="E156" s="330">
        <f>D156</f>
        <v>0</v>
      </c>
      <c r="F156" s="142"/>
      <c r="G156" s="17"/>
      <c r="H156" s="15"/>
      <c r="I156" s="213"/>
      <c r="J156" s="213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296" t="s">
        <v>275</v>
      </c>
      <c r="B157" s="143"/>
      <c r="C157" s="143"/>
      <c r="D157" s="42"/>
      <c r="E157" s="297">
        <f>E156</f>
        <v>0</v>
      </c>
      <c r="F157" s="142"/>
      <c r="G157" s="17"/>
      <c r="H157" s="15"/>
      <c r="I157" s="213"/>
      <c r="J157" s="213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81" t="s">
        <v>276</v>
      </c>
      <c r="B158" s="331" t="s">
        <v>255</v>
      </c>
      <c r="C158" s="332">
        <f>C147</f>
        <v>3</v>
      </c>
      <c r="D158" s="303">
        <f>E157</f>
        <v>0</v>
      </c>
      <c r="E158" s="297">
        <f>C158*D158</f>
        <v>0</v>
      </c>
      <c r="F158" s="142"/>
      <c r="G158" s="17"/>
      <c r="H158" s="15"/>
      <c r="I158" s="213"/>
      <c r="J158" s="213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41"/>
      <c r="D159" s="205" t="s">
        <v>239</v>
      </c>
      <c r="E159" s="300">
        <f>$B$48</f>
        <v>1</v>
      </c>
      <c r="F159" s="327">
        <f>E158*E159</f>
        <v>0</v>
      </c>
      <c r="G159" s="17"/>
      <c r="H159" s="15"/>
      <c r="I159" s="213"/>
      <c r="J159" s="213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1.25" customHeight="1" x14ac:dyDescent="0.25">
      <c r="A160" s="15"/>
      <c r="B160" s="15"/>
      <c r="C160" s="15"/>
      <c r="D160" s="17"/>
      <c r="E160" s="17"/>
      <c r="F160" s="17"/>
      <c r="G160" s="17"/>
      <c r="H160" s="15"/>
      <c r="I160" s="213"/>
      <c r="J160" s="213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 t="s">
        <v>283</v>
      </c>
      <c r="B161" s="15"/>
      <c r="C161" s="15"/>
      <c r="D161" s="17"/>
      <c r="E161" s="17"/>
      <c r="F161" s="17"/>
      <c r="G161" s="17"/>
      <c r="H161" s="15"/>
      <c r="I161" s="213"/>
      <c r="J161" s="213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284" t="s">
        <v>227</v>
      </c>
      <c r="B162" s="285" t="s">
        <v>98</v>
      </c>
      <c r="C162" s="285" t="s">
        <v>55</v>
      </c>
      <c r="D162" s="286" t="s">
        <v>228</v>
      </c>
      <c r="E162" s="286" t="s">
        <v>229</v>
      </c>
      <c r="F162" s="287" t="s">
        <v>230</v>
      </c>
      <c r="G162" s="17"/>
      <c r="H162" s="15"/>
      <c r="I162" s="213"/>
      <c r="J162" s="213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289" t="s">
        <v>284</v>
      </c>
      <c r="B163" s="290" t="s">
        <v>255</v>
      </c>
      <c r="C163" s="292">
        <f>C147</f>
        <v>3</v>
      </c>
      <c r="D163" s="292">
        <f>0.01*($E$141)</f>
        <v>0</v>
      </c>
      <c r="E163" s="292">
        <f>C163*D163</f>
        <v>0</v>
      </c>
      <c r="F163" s="17"/>
      <c r="G163" s="17"/>
      <c r="H163" s="15"/>
      <c r="I163" s="213"/>
      <c r="J163" s="213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293" t="s">
        <v>285</v>
      </c>
      <c r="B164" s="294" t="s">
        <v>255</v>
      </c>
      <c r="C164" s="292">
        <f>C147</f>
        <v>3</v>
      </c>
      <c r="D164" s="313"/>
      <c r="E164" s="295">
        <f>C164*D164</f>
        <v>0</v>
      </c>
      <c r="F164" s="17"/>
      <c r="G164" s="17"/>
      <c r="H164" s="15"/>
      <c r="I164" s="213"/>
      <c r="J164" s="213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293" t="s">
        <v>286</v>
      </c>
      <c r="B165" s="294" t="s">
        <v>255</v>
      </c>
      <c r="C165" s="292">
        <f>C147</f>
        <v>3</v>
      </c>
      <c r="D165" s="313"/>
      <c r="E165" s="295">
        <f>C165*D165</f>
        <v>0</v>
      </c>
      <c r="F165" s="42"/>
      <c r="G165" s="17"/>
      <c r="H165" s="15"/>
      <c r="I165" s="213"/>
      <c r="J165" s="213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81" t="s">
        <v>287</v>
      </c>
      <c r="B166" s="331" t="s">
        <v>232</v>
      </c>
      <c r="C166" s="331">
        <v>12</v>
      </c>
      <c r="D166" s="303">
        <f>SUM(E163:E165)</f>
        <v>0</v>
      </c>
      <c r="E166" s="303">
        <f>D166/C166</f>
        <v>0</v>
      </c>
      <c r="F166" s="17"/>
      <c r="G166" s="17"/>
      <c r="H166" s="15"/>
      <c r="I166" s="213"/>
      <c r="J166" s="213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205" t="s">
        <v>239</v>
      </c>
      <c r="E167" s="300">
        <f>$B$48</f>
        <v>1</v>
      </c>
      <c r="F167" s="301">
        <f>E166*E167</f>
        <v>0</v>
      </c>
      <c r="G167" s="17"/>
      <c r="H167" s="15"/>
      <c r="I167" s="213"/>
      <c r="J167" s="213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1.25" customHeight="1" x14ac:dyDescent="0.25">
      <c r="A168" s="15"/>
      <c r="B168" s="15"/>
      <c r="C168" s="15"/>
      <c r="D168" s="17"/>
      <c r="E168" s="17"/>
      <c r="F168" s="17"/>
      <c r="G168" s="17"/>
      <c r="H168" s="15"/>
      <c r="I168" s="213"/>
      <c r="J168" s="213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 t="s">
        <v>288</v>
      </c>
      <c r="B169" s="215"/>
      <c r="C169" s="15"/>
      <c r="D169" s="17"/>
      <c r="E169" s="17"/>
      <c r="F169" s="17"/>
      <c r="G169" s="17"/>
      <c r="H169" s="15"/>
      <c r="I169" s="213"/>
      <c r="J169" s="213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215"/>
      <c r="C170" s="15"/>
      <c r="D170" s="17"/>
      <c r="E170" s="17"/>
      <c r="F170" s="17"/>
      <c r="G170" s="17"/>
      <c r="H170" s="15"/>
      <c r="I170" s="213"/>
      <c r="J170" s="213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81" t="s">
        <v>289</v>
      </c>
      <c r="B171" s="333">
        <f>'0. Qtdades e Custos'!D8</f>
        <v>500</v>
      </c>
      <c r="C171" s="15"/>
      <c r="D171" s="17"/>
      <c r="E171" s="17"/>
      <c r="F171" s="17"/>
      <c r="G171" s="17"/>
      <c r="H171" s="15"/>
      <c r="I171" s="213"/>
      <c r="J171" s="213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334" t="s">
        <v>290</v>
      </c>
      <c r="B172" s="335">
        <f>'0. Qtdades e Custos'!Y70</f>
        <v>0</v>
      </c>
      <c r="C172" s="15"/>
      <c r="D172" s="17"/>
      <c r="E172" s="17"/>
      <c r="F172" s="17"/>
      <c r="G172" s="17"/>
      <c r="H172" s="15"/>
      <c r="I172" s="213"/>
      <c r="J172" s="213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215"/>
      <c r="C173" s="15"/>
      <c r="D173" s="17"/>
      <c r="E173" s="17"/>
      <c r="F173" s="17"/>
      <c r="G173" s="17"/>
      <c r="H173" s="15"/>
      <c r="I173" s="213"/>
      <c r="J173" s="213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284" t="s">
        <v>227</v>
      </c>
      <c r="B174" s="285" t="s">
        <v>98</v>
      </c>
      <c r="C174" s="285" t="s">
        <v>291</v>
      </c>
      <c r="D174" s="286" t="s">
        <v>228</v>
      </c>
      <c r="E174" s="286" t="s">
        <v>229</v>
      </c>
      <c r="F174" s="287" t="s">
        <v>230</v>
      </c>
      <c r="G174" s="17"/>
      <c r="H174" s="15"/>
      <c r="I174" s="213"/>
      <c r="J174" s="213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293" t="s">
        <v>292</v>
      </c>
      <c r="B175" s="290" t="s">
        <v>293</v>
      </c>
      <c r="C175" s="336">
        <f>B172</f>
        <v>0</v>
      </c>
      <c r="D175" s="337">
        <v>6.25</v>
      </c>
      <c r="E175" s="292"/>
      <c r="F175" s="17"/>
      <c r="G175" s="17"/>
      <c r="H175" s="15"/>
      <c r="I175" s="213"/>
      <c r="J175" s="213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334" t="s">
        <v>294</v>
      </c>
      <c r="B176" s="290" t="s">
        <v>295</v>
      </c>
      <c r="C176" s="307">
        <f>C175</f>
        <v>0</v>
      </c>
      <c r="D176" s="338"/>
      <c r="E176" s="295">
        <f>C176*D175</f>
        <v>0</v>
      </c>
      <c r="F176" s="17"/>
      <c r="G176" s="17"/>
      <c r="H176" s="15"/>
      <c r="I176" s="213"/>
      <c r="J176" s="213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7"/>
      <c r="E177" s="17"/>
      <c r="F177" s="327">
        <f>SUM(E175:E176)</f>
        <v>0</v>
      </c>
      <c r="G177" s="17"/>
      <c r="H177" s="15"/>
      <c r="I177" s="213"/>
      <c r="J177" s="213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1.25" customHeight="1" x14ac:dyDescent="0.25">
      <c r="A178" s="15"/>
      <c r="B178" s="15"/>
      <c r="C178" s="15"/>
      <c r="D178" s="17"/>
      <c r="E178" s="17"/>
      <c r="F178" s="17"/>
      <c r="G178" s="17"/>
      <c r="H178" s="15"/>
      <c r="I178" s="213"/>
      <c r="J178" s="213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 t="s">
        <v>296</v>
      </c>
      <c r="B179" s="15"/>
      <c r="C179" s="15"/>
      <c r="D179" s="17"/>
      <c r="E179" s="17"/>
      <c r="F179" s="17"/>
      <c r="G179" s="17"/>
      <c r="H179" s="15"/>
      <c r="I179" s="213"/>
      <c r="J179" s="213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284" t="s">
        <v>227</v>
      </c>
      <c r="B180" s="285" t="s">
        <v>98</v>
      </c>
      <c r="C180" s="285" t="s">
        <v>55</v>
      </c>
      <c r="D180" s="286" t="s">
        <v>228</v>
      </c>
      <c r="E180" s="286" t="s">
        <v>229</v>
      </c>
      <c r="F180" s="287" t="s">
        <v>230</v>
      </c>
      <c r="G180" s="17"/>
      <c r="H180" s="15"/>
      <c r="I180" s="213"/>
      <c r="J180" s="213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289" t="s">
        <v>375</v>
      </c>
      <c r="B181" s="290" t="s">
        <v>334</v>
      </c>
      <c r="C181" s="332">
        <f>'0. Qtdades e Custos'!S70/('0. Qtdades e Custos'!Q70*12)</f>
        <v>1.0714285714285714E-2</v>
      </c>
      <c r="D181" s="291">
        <f>D141</f>
        <v>0</v>
      </c>
      <c r="E181" s="292">
        <f>C181*D181</f>
        <v>0</v>
      </c>
      <c r="F181" s="17"/>
      <c r="G181" s="17"/>
      <c r="H181" s="15"/>
      <c r="I181" s="213"/>
      <c r="J181" s="213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7"/>
      <c r="E182" s="17"/>
      <c r="F182" s="327">
        <f>E181</f>
        <v>0</v>
      </c>
      <c r="G182" s="17"/>
      <c r="H182" s="15"/>
      <c r="I182" s="213"/>
      <c r="J182" s="213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1.25" customHeight="1" x14ac:dyDescent="0.25">
      <c r="A183" s="15"/>
      <c r="B183" s="15"/>
      <c r="C183" s="15"/>
      <c r="D183" s="17"/>
      <c r="E183" s="17"/>
      <c r="F183" s="17"/>
      <c r="G183" s="17"/>
      <c r="H183" s="15"/>
      <c r="I183" s="213"/>
      <c r="J183" s="213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 t="s">
        <v>300</v>
      </c>
      <c r="B184" s="15"/>
      <c r="C184" s="15"/>
      <c r="D184" s="17"/>
      <c r="E184" s="17"/>
      <c r="F184" s="17"/>
      <c r="G184" s="17"/>
      <c r="H184" s="15"/>
      <c r="I184" s="213"/>
      <c r="J184" s="213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284" t="s">
        <v>227</v>
      </c>
      <c r="B185" s="285" t="s">
        <v>98</v>
      </c>
      <c r="C185" s="285" t="s">
        <v>55</v>
      </c>
      <c r="D185" s="286" t="s">
        <v>228</v>
      </c>
      <c r="E185" s="286" t="s">
        <v>229</v>
      </c>
      <c r="F185" s="287" t="s">
        <v>230</v>
      </c>
      <c r="G185" s="423"/>
      <c r="H185" s="15"/>
      <c r="I185" s="213"/>
      <c r="J185" s="213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289" t="s">
        <v>435</v>
      </c>
      <c r="B186" s="290" t="s">
        <v>255</v>
      </c>
      <c r="C186" s="341">
        <v>6</v>
      </c>
      <c r="D186" s="291"/>
      <c r="E186" s="292">
        <f>C186*D186</f>
        <v>0</v>
      </c>
      <c r="F186" s="17"/>
      <c r="G186" s="423"/>
      <c r="H186" s="15"/>
      <c r="I186" s="213"/>
      <c r="J186" s="213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289" t="s">
        <v>302</v>
      </c>
      <c r="B187" s="290" t="s">
        <v>255</v>
      </c>
      <c r="C187" s="341">
        <v>1</v>
      </c>
      <c r="D187" s="292"/>
      <c r="E187" s="292"/>
      <c r="F187" s="17"/>
      <c r="G187" s="423"/>
      <c r="H187" s="15"/>
      <c r="I187" s="213"/>
      <c r="J187" s="213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289" t="s">
        <v>303</v>
      </c>
      <c r="B188" s="290" t="s">
        <v>255</v>
      </c>
      <c r="C188" s="292">
        <f>C186*C187</f>
        <v>6</v>
      </c>
      <c r="D188" s="291"/>
      <c r="E188" s="292">
        <f>C188*D188</f>
        <v>0</v>
      </c>
      <c r="F188" s="17"/>
      <c r="G188" s="423"/>
      <c r="H188" s="15"/>
      <c r="I188" s="213"/>
      <c r="J188" s="213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293" t="s">
        <v>304</v>
      </c>
      <c r="B189" s="294" t="s">
        <v>305</v>
      </c>
      <c r="C189" s="342">
        <v>60000</v>
      </c>
      <c r="D189" s="295">
        <f>E186+E188</f>
        <v>0</v>
      </c>
      <c r="E189" s="295">
        <f>IFERROR(D189/C189,"-")</f>
        <v>0</v>
      </c>
      <c r="F189" s="17"/>
      <c r="G189" s="423"/>
      <c r="H189" s="15"/>
      <c r="I189" s="213"/>
      <c r="J189" s="213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293" t="s">
        <v>306</v>
      </c>
      <c r="B190" s="294" t="s">
        <v>307</v>
      </c>
      <c r="C190" s="307">
        <f>B171</f>
        <v>500</v>
      </c>
      <c r="D190" s="295">
        <f>E189</f>
        <v>0</v>
      </c>
      <c r="E190" s="295">
        <f>IFERROR(C190*D190,0)</f>
        <v>0</v>
      </c>
      <c r="F190" s="17"/>
      <c r="G190" s="423"/>
      <c r="H190" s="15"/>
      <c r="I190" s="213"/>
      <c r="J190" s="213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7"/>
      <c r="E191" s="17"/>
      <c r="F191" s="327">
        <f>E190</f>
        <v>0</v>
      </c>
      <c r="G191" s="423"/>
      <c r="H191" s="15"/>
      <c r="I191" s="213"/>
      <c r="J191" s="213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1.25" customHeight="1" x14ac:dyDescent="0.25">
      <c r="A192" s="15"/>
      <c r="B192" s="15"/>
      <c r="C192" s="15"/>
      <c r="D192" s="17"/>
      <c r="E192" s="17"/>
      <c r="F192" s="17"/>
      <c r="G192" s="423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1.25" customHeight="1" x14ac:dyDescent="0.25">
      <c r="A193" s="15" t="s">
        <v>308</v>
      </c>
      <c r="B193" s="15"/>
      <c r="C193" s="15"/>
      <c r="D193" s="17"/>
      <c r="E193" s="17"/>
      <c r="F193" s="17"/>
      <c r="G193" s="423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1.25" customHeight="1" x14ac:dyDescent="0.25">
      <c r="A194" s="343" t="s">
        <v>227</v>
      </c>
      <c r="B194" s="344" t="s">
        <v>98</v>
      </c>
      <c r="C194" s="344" t="s">
        <v>55</v>
      </c>
      <c r="D194" s="345" t="s">
        <v>228</v>
      </c>
      <c r="E194" s="345" t="s">
        <v>229</v>
      </c>
      <c r="F194" s="346" t="s">
        <v>230</v>
      </c>
      <c r="G194" s="423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1.25" customHeight="1" x14ac:dyDescent="0.25">
      <c r="A195" s="293" t="s">
        <v>192</v>
      </c>
      <c r="B195" s="294" t="s">
        <v>255</v>
      </c>
      <c r="C195" s="293">
        <v>3</v>
      </c>
      <c r="D195" s="300"/>
      <c r="E195" s="300">
        <f>(C195*D195)</f>
        <v>0</v>
      </c>
      <c r="F195" s="300">
        <f>E195*30</f>
        <v>0</v>
      </c>
      <c r="G195" s="423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1.25" customHeight="1" x14ac:dyDescent="0.25">
      <c r="A196" s="15"/>
      <c r="B196" s="15"/>
      <c r="C196" s="15"/>
      <c r="D196" s="17"/>
      <c r="E196" s="17"/>
      <c r="F196" s="17"/>
      <c r="G196" s="423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1.25" customHeight="1" x14ac:dyDescent="0.25">
      <c r="A197" s="347" t="s">
        <v>436</v>
      </c>
      <c r="B197" s="347"/>
      <c r="C197" s="347"/>
      <c r="D197" s="348"/>
      <c r="E197" s="348"/>
      <c r="F197" s="348"/>
      <c r="G197" s="423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1.25" customHeight="1" x14ac:dyDescent="0.25">
      <c r="A198" s="349" t="s">
        <v>227</v>
      </c>
      <c r="B198" s="350" t="s">
        <v>98</v>
      </c>
      <c r="C198" s="350" t="s">
        <v>55</v>
      </c>
      <c r="D198" s="351" t="s">
        <v>228</v>
      </c>
      <c r="E198" s="351" t="s">
        <v>229</v>
      </c>
      <c r="F198" s="352" t="s">
        <v>312</v>
      </c>
      <c r="G198" s="423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1.25" customHeight="1" x14ac:dyDescent="0.25">
      <c r="A199" s="353" t="s">
        <v>313</v>
      </c>
      <c r="B199" s="322" t="s">
        <v>314</v>
      </c>
      <c r="C199" s="322">
        <v>3</v>
      </c>
      <c r="D199" s="354">
        <f>'0. Qtdades e Custos'!D225</f>
        <v>0</v>
      </c>
      <c r="E199" s="355">
        <f>D199*C199</f>
        <v>0</v>
      </c>
      <c r="F199" s="356"/>
      <c r="G199" s="423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1.25" customHeight="1" x14ac:dyDescent="0.25">
      <c r="A200" s="353" t="s">
        <v>315</v>
      </c>
      <c r="B200" s="322" t="s">
        <v>232</v>
      </c>
      <c r="C200" s="322">
        <v>60</v>
      </c>
      <c r="D200" s="355">
        <f>D199</f>
        <v>0</v>
      </c>
      <c r="E200" s="355">
        <f>D200/C200</f>
        <v>0</v>
      </c>
      <c r="F200" s="356"/>
      <c r="G200" s="423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1.25" customHeight="1" x14ac:dyDescent="0.25">
      <c r="A201" s="353" t="s">
        <v>316</v>
      </c>
      <c r="B201" s="322" t="s">
        <v>317</v>
      </c>
      <c r="C201" s="322">
        <v>3</v>
      </c>
      <c r="D201" s="354">
        <f>'0. Qtdades e Custos'!D226</f>
        <v>0</v>
      </c>
      <c r="E201" s="355">
        <f>D201*C201</f>
        <v>0</v>
      </c>
      <c r="F201" s="356"/>
      <c r="G201" s="423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1.25" customHeight="1" x14ac:dyDescent="0.25">
      <c r="A202" s="357" t="s">
        <v>318</v>
      </c>
      <c r="B202" s="358"/>
      <c r="C202" s="359"/>
      <c r="D202" s="360"/>
      <c r="E202" s="361">
        <f>E201+E200</f>
        <v>0</v>
      </c>
      <c r="F202" s="356"/>
      <c r="G202" s="423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1.25" customHeight="1" x14ac:dyDescent="0.25">
      <c r="A203" s="347"/>
      <c r="B203" s="347"/>
      <c r="C203" s="347"/>
      <c r="D203" s="362" t="s">
        <v>239</v>
      </c>
      <c r="E203" s="363">
        <v>1</v>
      </c>
      <c r="F203" s="364">
        <f>(E202)*E203</f>
        <v>0</v>
      </c>
      <c r="G203" s="423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1.25" customHeight="1" x14ac:dyDescent="0.25">
      <c r="A204" s="347"/>
      <c r="B204" s="347"/>
      <c r="C204" s="347"/>
      <c r="D204" s="348"/>
      <c r="E204" s="348"/>
      <c r="F204" s="348"/>
      <c r="G204" s="423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1.25" customHeight="1" x14ac:dyDescent="0.25">
      <c r="A205" s="365" t="s">
        <v>319</v>
      </c>
      <c r="B205" s="366"/>
      <c r="C205" s="366"/>
      <c r="D205" s="367"/>
      <c r="E205" s="368"/>
      <c r="F205" s="369">
        <f>F203</f>
        <v>0</v>
      </c>
      <c r="G205" s="423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1.25" customHeight="1" x14ac:dyDescent="0.25">
      <c r="A206" s="15"/>
      <c r="B206" s="15"/>
      <c r="C206" s="15"/>
      <c r="D206" s="17"/>
      <c r="E206" s="17"/>
      <c r="F206" s="17"/>
      <c r="G206" s="423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316" t="s">
        <v>387</v>
      </c>
      <c r="B207" s="317"/>
      <c r="C207" s="317"/>
      <c r="D207" s="257"/>
      <c r="E207" s="318"/>
      <c r="F207" s="327">
        <f>+SUM(F141:F206)</f>
        <v>0</v>
      </c>
      <c r="G207" s="423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1.25" customHeight="1" x14ac:dyDescent="0.25">
      <c r="A208" s="15"/>
      <c r="B208" s="15"/>
      <c r="C208" s="15"/>
      <c r="D208" s="17"/>
      <c r="E208" s="17"/>
      <c r="F208" s="17"/>
      <c r="G208" s="423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44" t="s">
        <v>388</v>
      </c>
      <c r="B209" s="44"/>
      <c r="C209" s="44"/>
      <c r="D209" s="43"/>
      <c r="E209" s="43"/>
      <c r="F209" s="42"/>
      <c r="G209" s="423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1.25" customHeight="1" x14ac:dyDescent="0.25">
      <c r="A210" s="15"/>
      <c r="B210" s="15"/>
      <c r="C210" s="15"/>
      <c r="D210" s="17"/>
      <c r="E210" s="17"/>
      <c r="F210" s="17"/>
      <c r="G210" s="423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284" t="s">
        <v>227</v>
      </c>
      <c r="B211" s="285" t="s">
        <v>98</v>
      </c>
      <c r="C211" s="285" t="s">
        <v>55</v>
      </c>
      <c r="D211" s="286" t="s">
        <v>228</v>
      </c>
      <c r="E211" s="286" t="s">
        <v>229</v>
      </c>
      <c r="F211" s="287" t="s">
        <v>230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5.5" customHeight="1" x14ac:dyDescent="0.25">
      <c r="A212" s="314" t="s">
        <v>115</v>
      </c>
      <c r="B212" s="294" t="s">
        <v>255</v>
      </c>
      <c r="C212" s="388">
        <f>'0. Qtdades e Custos'!H91</f>
        <v>37.5</v>
      </c>
      <c r="D212" s="291">
        <f>VLOOKUP(A212,'0. Qtdades e Custos'!$C$91:$J$94,8,0)</f>
        <v>0</v>
      </c>
      <c r="E212" s="295">
        <f>C212*D212</f>
        <v>0</v>
      </c>
      <c r="F212" s="142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293" t="s">
        <v>116</v>
      </c>
      <c r="B213" s="294" t="s">
        <v>255</v>
      </c>
      <c r="C213" s="388">
        <f>'0. Qtdades e Custos'!H92</f>
        <v>6</v>
      </c>
      <c r="D213" s="291">
        <f>VLOOKUP(A213,'0. Qtdades e Custos'!$C$91:$J$94,8,0)</f>
        <v>0</v>
      </c>
      <c r="E213" s="295">
        <f>C213*D213</f>
        <v>0</v>
      </c>
      <c r="F213" s="142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293" t="s">
        <v>117</v>
      </c>
      <c r="B214" s="294" t="s">
        <v>255</v>
      </c>
      <c r="C214" s="388">
        <f>'0. Qtdades e Custos'!H93</f>
        <v>3750</v>
      </c>
      <c r="D214" s="291">
        <f>VLOOKUP(A214,'0. Qtdades e Custos'!$C$91:$J$94,8,0)</f>
        <v>0</v>
      </c>
      <c r="E214" s="295">
        <f>C214*D214</f>
        <v>0</v>
      </c>
      <c r="F214" s="142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293" t="s">
        <v>119</v>
      </c>
      <c r="B215" s="294" t="s">
        <v>255</v>
      </c>
      <c r="C215" s="388">
        <f>'0. Qtdades e Custos'!H94</f>
        <v>0.5</v>
      </c>
      <c r="D215" s="291">
        <f>VLOOKUP(A215,'0. Qtdades e Custos'!$C$91:$J$94,8,0)</f>
        <v>0</v>
      </c>
      <c r="E215" s="295">
        <f>C215*D215</f>
        <v>0</v>
      </c>
      <c r="F215" s="142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293" t="s">
        <v>147</v>
      </c>
      <c r="B216" s="294" t="s">
        <v>255</v>
      </c>
      <c r="C216" s="388">
        <f>'0. Qtdades e Custos'!I157</f>
        <v>1.5</v>
      </c>
      <c r="D216" s="291">
        <f>'0. Qtdades e Custos'!E211</f>
        <v>0</v>
      </c>
      <c r="E216" s="295">
        <f>C216*D216</f>
        <v>0</v>
      </c>
      <c r="F216" s="142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44"/>
      <c r="B217" s="44"/>
      <c r="C217" s="44"/>
      <c r="D217" s="44"/>
      <c r="E217" s="43"/>
      <c r="F217" s="327">
        <f>SUM(E212:E215)</f>
        <v>0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1.25" customHeight="1" x14ac:dyDescent="0.25">
      <c r="A218" s="15"/>
      <c r="B218" s="15"/>
      <c r="C218" s="15"/>
      <c r="D218" s="17"/>
      <c r="E218" s="17"/>
      <c r="F218" s="17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316" t="s">
        <v>389</v>
      </c>
      <c r="B219" s="317"/>
      <c r="C219" s="317"/>
      <c r="D219" s="257"/>
      <c r="E219" s="318"/>
      <c r="F219" s="327">
        <f>+F217</f>
        <v>0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1.25" customHeight="1" x14ac:dyDescent="0.25">
      <c r="A220" s="15"/>
      <c r="B220" s="15"/>
      <c r="C220" s="15"/>
      <c r="D220" s="17"/>
      <c r="E220" s="17"/>
      <c r="F220" s="17"/>
      <c r="G220" s="17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7.25" customHeight="1" x14ac:dyDescent="0.25">
      <c r="A221" s="316" t="s">
        <v>390</v>
      </c>
      <c r="B221" s="324"/>
      <c r="C221" s="324"/>
      <c r="D221" s="325"/>
      <c r="E221" s="326"/>
      <c r="F221" s="312">
        <f>+F94+F133+F207+F219</f>
        <v>0</v>
      </c>
      <c r="G221" s="17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1.25" customHeight="1" x14ac:dyDescent="0.25">
      <c r="A222" s="15"/>
      <c r="B222" s="15"/>
      <c r="C222" s="15"/>
      <c r="D222" s="17"/>
      <c r="E222" s="17"/>
      <c r="F222" s="17"/>
      <c r="G222" s="17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44" t="s">
        <v>391</v>
      </c>
      <c r="B223" s="15"/>
      <c r="C223" s="15"/>
      <c r="D223" s="17"/>
      <c r="E223" s="17"/>
      <c r="F223" s="17"/>
      <c r="G223" s="17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1.25" customHeight="1" x14ac:dyDescent="0.25">
      <c r="A224" s="15"/>
      <c r="B224" s="15"/>
      <c r="C224" s="15"/>
      <c r="D224" s="17"/>
      <c r="E224" s="17"/>
      <c r="F224" s="17"/>
      <c r="G224" s="17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284" t="s">
        <v>227</v>
      </c>
      <c r="B225" s="285" t="s">
        <v>98</v>
      </c>
      <c r="C225" s="285" t="s">
        <v>55</v>
      </c>
      <c r="D225" s="286" t="s">
        <v>228</v>
      </c>
      <c r="E225" s="286" t="s">
        <v>229</v>
      </c>
      <c r="F225" s="287" t="s">
        <v>230</v>
      </c>
      <c r="G225" s="17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289" t="s">
        <v>392</v>
      </c>
      <c r="B226" s="290" t="s">
        <v>207</v>
      </c>
      <c r="C226" s="298">
        <f>'8. BDI'!C20*100</f>
        <v>24.84</v>
      </c>
      <c r="D226" s="292">
        <f>+F221</f>
        <v>0</v>
      </c>
      <c r="E226" s="292">
        <f>C226*D226/100</f>
        <v>0</v>
      </c>
      <c r="F226" s="17"/>
      <c r="G226" s="17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7"/>
      <c r="E227" s="17"/>
      <c r="F227" s="327">
        <f>+E226</f>
        <v>0</v>
      </c>
      <c r="G227" s="17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1.25" customHeight="1" x14ac:dyDescent="0.25">
      <c r="A228" s="15"/>
      <c r="B228" s="15"/>
      <c r="C228" s="15"/>
      <c r="D228" s="17"/>
      <c r="E228" s="17"/>
      <c r="F228" s="17"/>
      <c r="G228" s="17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316" t="s">
        <v>393</v>
      </c>
      <c r="B229" s="324"/>
      <c r="C229" s="324"/>
      <c r="D229" s="325"/>
      <c r="E229" s="326"/>
      <c r="F229" s="312">
        <f>F227</f>
        <v>0</v>
      </c>
      <c r="G229" s="17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44"/>
      <c r="B230" s="44"/>
      <c r="C230" s="44"/>
      <c r="D230" s="43"/>
      <c r="E230" s="43"/>
      <c r="F230" s="42"/>
      <c r="G230" s="17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44" t="s">
        <v>394</v>
      </c>
      <c r="B231" s="44"/>
      <c r="C231" s="44"/>
      <c r="D231" s="43"/>
      <c r="E231" s="43"/>
      <c r="F231" s="42"/>
      <c r="G231" s="17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44"/>
      <c r="B232" s="44"/>
      <c r="C232" s="44"/>
      <c r="D232" s="43"/>
      <c r="E232" s="43"/>
      <c r="F232" s="42"/>
      <c r="G232" s="17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389" t="s">
        <v>395</v>
      </c>
      <c r="B233" s="283">
        <v>0.2</v>
      </c>
      <c r="C233" s="44"/>
      <c r="D233" s="43"/>
      <c r="E233" s="43"/>
      <c r="F233" s="42"/>
      <c r="G233" s="17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390" t="s">
        <v>396</v>
      </c>
      <c r="B234" s="317"/>
      <c r="C234" s="317"/>
      <c r="D234" s="257"/>
      <c r="E234" s="318"/>
      <c r="F234" s="327">
        <f>'5. Equipe Técnica'!F323</f>
        <v>0</v>
      </c>
      <c r="G234" s="17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44"/>
      <c r="B235" s="44"/>
      <c r="C235" s="44"/>
      <c r="D235" s="43"/>
      <c r="E235" s="43"/>
      <c r="F235" s="42"/>
      <c r="G235" s="17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316" t="s">
        <v>397</v>
      </c>
      <c r="B236" s="324"/>
      <c r="C236" s="324"/>
      <c r="D236" s="325"/>
      <c r="E236" s="326"/>
      <c r="F236" s="312">
        <f>B233*F234</f>
        <v>0</v>
      </c>
      <c r="G236" s="17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44"/>
      <c r="B237" s="44"/>
      <c r="C237" s="44"/>
      <c r="D237" s="43"/>
      <c r="E237" s="43"/>
      <c r="F237" s="42"/>
      <c r="G237" s="17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1.25" customHeight="1" x14ac:dyDescent="0.25">
      <c r="A238" s="15"/>
      <c r="B238" s="15"/>
      <c r="C238" s="15"/>
      <c r="D238" s="17"/>
      <c r="E238" s="17"/>
      <c r="F238" s="17"/>
      <c r="G238" s="17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4.75" customHeight="1" x14ac:dyDescent="0.25">
      <c r="A239" s="316" t="s">
        <v>398</v>
      </c>
      <c r="B239" s="324"/>
      <c r="C239" s="324"/>
      <c r="D239" s="325"/>
      <c r="E239" s="326"/>
      <c r="F239" s="312">
        <f>F221+F229+F236</f>
        <v>0</v>
      </c>
      <c r="G239" s="17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" customHeight="1" x14ac:dyDescent="0.25">
      <c r="A240" s="16"/>
      <c r="B240" s="16"/>
      <c r="C240" s="16"/>
      <c r="D240" s="228"/>
      <c r="E240" s="228"/>
      <c r="F240" s="228"/>
      <c r="G240" s="17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41"/>
      <c r="B241" s="41"/>
      <c r="C241" s="41"/>
      <c r="D241" s="229"/>
      <c r="E241" s="229"/>
      <c r="F241" s="17"/>
      <c r="G241" s="17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391" t="s">
        <v>437</v>
      </c>
      <c r="B242" s="392"/>
      <c r="C242" s="392"/>
      <c r="D242" s="424">
        <f>'0. Qtdades e Custos'!D8</f>
        <v>500</v>
      </c>
      <c r="E242" s="394" t="s">
        <v>6</v>
      </c>
      <c r="F242" s="17"/>
      <c r="G242" s="17" t="s">
        <v>193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7"/>
      <c r="E243" s="17"/>
      <c r="F243" s="17"/>
      <c r="G243" s="17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5.5" customHeight="1" x14ac:dyDescent="0.25">
      <c r="A244" s="316" t="s">
        <v>400</v>
      </c>
      <c r="B244" s="317"/>
      <c r="C244" s="317"/>
      <c r="D244" s="257"/>
      <c r="E244" s="395" t="s">
        <v>401</v>
      </c>
      <c r="F244" s="418">
        <f>IFERROR(F239/D242,"-")</f>
        <v>0</v>
      </c>
      <c r="G244" s="17" t="s">
        <v>193</v>
      </c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" customHeight="1" x14ac:dyDescent="0.25"/>
    <row r="246" spans="1:26" ht="9.75" customHeight="1" x14ac:dyDescent="0.25"/>
    <row r="247" spans="1:26" ht="9.75" customHeight="1" x14ac:dyDescent="0.25"/>
    <row r="248" spans="1:26" ht="9.75" customHeight="1" x14ac:dyDescent="0.25"/>
    <row r="249" spans="1:26" ht="12.75" customHeight="1" x14ac:dyDescent="0.25"/>
    <row r="250" spans="1:26" ht="12.75" customHeight="1" x14ac:dyDescent="0.25"/>
    <row r="251" spans="1:26" ht="12.75" customHeight="1" x14ac:dyDescent="0.25"/>
    <row r="252" spans="1:26" ht="12.75" customHeight="1" x14ac:dyDescent="0.25"/>
    <row r="253" spans="1:26" ht="12.75" customHeight="1" x14ac:dyDescent="0.25"/>
    <row r="254" spans="1:26" ht="12.75" customHeight="1" x14ac:dyDescent="0.25"/>
    <row r="255" spans="1:26" ht="12.75" customHeight="1" x14ac:dyDescent="0.25"/>
    <row r="256" spans="1:2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9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</sheetData>
  <mergeCells count="11">
    <mergeCell ref="A137:F137"/>
    <mergeCell ref="A38:E38"/>
    <mergeCell ref="A39:D39"/>
    <mergeCell ref="A44:D44"/>
    <mergeCell ref="A45:D45"/>
    <mergeCell ref="A46:D46"/>
    <mergeCell ref="A11:F11"/>
    <mergeCell ref="A12:F12"/>
    <mergeCell ref="A14:F14"/>
    <mergeCell ref="A22:C22"/>
    <mergeCell ref="A24:D24"/>
  </mergeCells>
  <hyperlinks>
    <hyperlink ref="A25" location="Google_Sheet_Link_1431348254" display="    3.1.1. Depreciação    "/>
    <hyperlink ref="A26" location="Google_Sheet_Link_232194057" display="    3.1.2. Remuneração do Capital    "/>
    <hyperlink ref="A139" location="Google_Sheet_Link_1431348254" display="3.1.1. Depreciação"/>
    <hyperlink ref="A150" location="Google_Sheet_Link_232194057" display="3.1.2. Remuneração do Capital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89" zoomScaleNormal="100" workbookViewId="0">
      <selection activeCell="D301" sqref="D301"/>
    </sheetView>
  </sheetViews>
  <sheetFormatPr defaultRowHeight="13.2" x14ac:dyDescent="0.25"/>
  <cols>
    <col min="1" max="1" width="46.109375" customWidth="1"/>
    <col min="2" max="2" width="16" customWidth="1"/>
    <col min="3" max="3" width="11.88671875" customWidth="1"/>
    <col min="4" max="4" width="14.77734375" customWidth="1"/>
    <col min="5" max="5" width="15.33203125" customWidth="1"/>
    <col min="6" max="6" width="13.21875" customWidth="1"/>
    <col min="7" max="7" width="28.109375" customWidth="1"/>
    <col min="8" max="8" width="9.109375" customWidth="1"/>
    <col min="9" max="9" width="14.6640625" customWidth="1"/>
    <col min="10" max="10" width="13.33203125" customWidth="1"/>
    <col min="11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16" t="s">
        <v>194</v>
      </c>
      <c r="B1" s="15"/>
      <c r="C1" s="15"/>
      <c r="D1" s="17"/>
      <c r="E1" s="17"/>
      <c r="F1" s="17"/>
      <c r="G1" s="1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8" t="s">
        <v>195</v>
      </c>
      <c r="B2" s="15"/>
      <c r="C2" s="15"/>
      <c r="D2" s="17"/>
      <c r="E2" s="17"/>
      <c r="F2" s="17"/>
      <c r="G2" s="1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8" t="s">
        <v>196</v>
      </c>
      <c r="B3" s="15"/>
      <c r="C3" s="15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8" t="s">
        <v>197</v>
      </c>
      <c r="B4" s="15"/>
      <c r="C4" s="15"/>
      <c r="D4" s="17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 x14ac:dyDescent="0.25">
      <c r="A5" s="37" t="s">
        <v>198</v>
      </c>
      <c r="B5" s="15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231" t="s">
        <v>199</v>
      </c>
      <c r="B6" s="222"/>
      <c r="C6" s="222"/>
      <c r="D6" s="222"/>
      <c r="E6" s="222"/>
      <c r="F6" s="222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x14ac:dyDescent="0.25">
      <c r="A7" s="15"/>
      <c r="B7" s="222"/>
      <c r="C7" s="222"/>
      <c r="D7" s="222"/>
      <c r="E7" s="222"/>
      <c r="F7" s="222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18" t="s">
        <v>200</v>
      </c>
      <c r="B8" s="222"/>
      <c r="C8" s="222"/>
      <c r="D8" s="222"/>
      <c r="E8" s="222"/>
      <c r="F8" s="22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5">
      <c r="A9" s="18" t="s">
        <v>201</v>
      </c>
      <c r="B9" s="222"/>
      <c r="C9" s="222"/>
      <c r="D9" s="222"/>
      <c r="E9" s="222"/>
      <c r="F9" s="222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5" customHeight="1" x14ac:dyDescent="0.25">
      <c r="A10" s="15"/>
      <c r="B10" s="222"/>
      <c r="C10" s="222"/>
      <c r="D10" s="17"/>
      <c r="E10" s="17"/>
      <c r="F10" s="17"/>
      <c r="G10" s="1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 x14ac:dyDescent="0.25">
      <c r="A11" s="593" t="s">
        <v>438</v>
      </c>
      <c r="B11" s="593"/>
      <c r="C11" s="593"/>
      <c r="D11" s="593"/>
      <c r="E11" s="593"/>
      <c r="F11" s="593"/>
      <c r="G11" s="22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.75" customHeight="1" x14ac:dyDescent="0.25">
      <c r="A12" s="594" t="s">
        <v>203</v>
      </c>
      <c r="B12" s="594"/>
      <c r="C12" s="594"/>
      <c r="D12" s="594"/>
      <c r="E12" s="594"/>
      <c r="F12" s="594"/>
      <c r="G12" s="22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0.5" customHeight="1" x14ac:dyDescent="0.25">
      <c r="A13" s="232"/>
      <c r="B13" s="222"/>
      <c r="C13" s="222"/>
      <c r="D13" s="17"/>
      <c r="E13" s="17"/>
      <c r="F13" s="233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5">
      <c r="A14" s="595" t="s">
        <v>204</v>
      </c>
      <c r="B14" s="595"/>
      <c r="C14" s="595"/>
      <c r="D14" s="595"/>
      <c r="E14" s="595"/>
      <c r="F14" s="595"/>
      <c r="G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34" t="s">
        <v>205</v>
      </c>
      <c r="B15" s="235"/>
      <c r="C15" s="235"/>
      <c r="D15" s="236"/>
      <c r="E15" s="237" t="s">
        <v>206</v>
      </c>
      <c r="F15" s="238" t="s">
        <v>207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5">
      <c r="A16" s="239" t="str">
        <f>A60</f>
        <v>1. Mão-de-obra</v>
      </c>
      <c r="B16" s="240"/>
      <c r="C16" s="240"/>
      <c r="D16" s="240"/>
      <c r="E16" s="241">
        <f>+F132</f>
        <v>0</v>
      </c>
      <c r="F16" s="242">
        <f t="shared" ref="F16:F40" si="0">IFERROR(E16/$E$41,0)</f>
        <v>0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25">
      <c r="A17" s="243" t="str">
        <f>A62</f>
        <v>1.1. Encarregado Geral</v>
      </c>
      <c r="B17" s="244"/>
      <c r="C17" s="244"/>
      <c r="D17" s="244"/>
      <c r="E17" s="245">
        <f>F70</f>
        <v>0</v>
      </c>
      <c r="F17" s="246">
        <f t="shared" si="0"/>
        <v>0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5">
      <c r="A18" s="243" t="str">
        <f>A72</f>
        <v>1.2. Gerente Geral</v>
      </c>
      <c r="B18" s="244"/>
      <c r="C18" s="244"/>
      <c r="D18" s="244"/>
      <c r="E18" s="245">
        <f>F80</f>
        <v>0</v>
      </c>
      <c r="F18" s="246">
        <f t="shared" si="0"/>
        <v>0</v>
      </c>
      <c r="G18" s="1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5">
      <c r="A19" s="243" t="str">
        <f>A82</f>
        <v>1.3. Técnico de Segurança do Trabalho</v>
      </c>
      <c r="B19" s="244"/>
      <c r="C19" s="244"/>
      <c r="D19" s="244"/>
      <c r="E19" s="245">
        <f>F90</f>
        <v>0</v>
      </c>
      <c r="F19" s="246">
        <f t="shared" si="0"/>
        <v>0</v>
      </c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243" t="str">
        <f>A92</f>
        <v>1.4. Responsável Técnico (Engenheiro/ 20 horas semanais)</v>
      </c>
      <c r="B20" s="244"/>
      <c r="C20" s="244"/>
      <c r="D20" s="244"/>
      <c r="E20" s="245">
        <f>F100</f>
        <v>0</v>
      </c>
      <c r="F20" s="246">
        <f t="shared" si="0"/>
        <v>0</v>
      </c>
      <c r="G20" s="1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243" t="str">
        <f>A102</f>
        <v>1.5. Vale Transporte Gerente Geral, Técnico de Segurança do Trabalho e Engenheiro</v>
      </c>
      <c r="B21" s="244"/>
      <c r="C21" s="244"/>
      <c r="D21" s="244"/>
      <c r="E21" s="245">
        <f>F109</f>
        <v>0</v>
      </c>
      <c r="F21" s="246">
        <f t="shared" si="0"/>
        <v>0</v>
      </c>
      <c r="G21" s="1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243" t="str">
        <f>A118</f>
        <v>1.6. Vale-refeição (diário)</v>
      </c>
      <c r="B22" s="244"/>
      <c r="C22" s="244"/>
      <c r="D22" s="244"/>
      <c r="E22" s="245">
        <f>F123</f>
        <v>0</v>
      </c>
      <c r="F22" s="246">
        <f t="shared" si="0"/>
        <v>0</v>
      </c>
      <c r="G22" s="1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243" t="str">
        <f>A125</f>
        <v>1.7. Auxílio Alimentação (mensal)</v>
      </c>
      <c r="B23" s="244"/>
      <c r="C23" s="244"/>
      <c r="D23" s="244"/>
      <c r="E23" s="245">
        <f>F130</f>
        <v>0</v>
      </c>
      <c r="F23" s="246">
        <f t="shared" si="0"/>
        <v>0</v>
      </c>
      <c r="G23" s="1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596" t="str">
        <f>A134</f>
        <v>2. Uniformes e Equipamentos de Proteção Individual</v>
      </c>
      <c r="B24" s="596"/>
      <c r="C24" s="596"/>
      <c r="D24" s="240"/>
      <c r="E24" s="241">
        <f>+F192</f>
        <v>0</v>
      </c>
      <c r="F24" s="242">
        <f t="shared" si="0"/>
        <v>0</v>
      </c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5.75" customHeight="1" x14ac:dyDescent="0.25">
      <c r="A25" s="247" t="str">
        <f>A194</f>
        <v>3. Veículos e Equipamentos</v>
      </c>
      <c r="B25" s="248"/>
      <c r="C25" s="240"/>
      <c r="D25" s="240"/>
      <c r="E25" s="241">
        <f>+F309</f>
        <v>0</v>
      </c>
      <c r="F25" s="242">
        <f t="shared" si="0"/>
        <v>0</v>
      </c>
      <c r="G25" s="43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597" t="str">
        <f>A196</f>
        <v>3.1. Veículo Tipo Passeio 1.0, a Gasolina – 5 passageiros</v>
      </c>
      <c r="B26" s="597"/>
      <c r="C26" s="597"/>
      <c r="D26" s="597"/>
      <c r="E26" s="245">
        <f>SUM(E27:E32)</f>
        <v>0</v>
      </c>
      <c r="F26" s="246">
        <f t="shared" si="0"/>
        <v>0</v>
      </c>
      <c r="G26" s="1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249" t="s">
        <v>208</v>
      </c>
      <c r="B27" s="250"/>
      <c r="C27" s="244"/>
      <c r="D27" s="244"/>
      <c r="E27" s="245">
        <f>F207</f>
        <v>0</v>
      </c>
      <c r="F27" s="246">
        <f t="shared" si="0"/>
        <v>0</v>
      </c>
      <c r="G27" s="1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249" t="s">
        <v>209</v>
      </c>
      <c r="B28" s="250"/>
      <c r="C28" s="244"/>
      <c r="D28" s="244"/>
      <c r="E28" s="245">
        <f>F218</f>
        <v>0</v>
      </c>
      <c r="F28" s="246">
        <f t="shared" si="0"/>
        <v>0</v>
      </c>
      <c r="G28" s="1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251" t="str">
        <f>A220</f>
        <v>3.1.3. Impostos e Seguros - Caminhão</v>
      </c>
      <c r="B29" s="250"/>
      <c r="C29" s="244"/>
      <c r="D29" s="244"/>
      <c r="E29" s="245">
        <f>F226</f>
        <v>0</v>
      </c>
      <c r="F29" s="246">
        <f t="shared" si="0"/>
        <v>0</v>
      </c>
      <c r="G29" s="1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251" t="str">
        <f>A228</f>
        <v>3.1.4. Consumos</v>
      </c>
      <c r="B30" s="250"/>
      <c r="C30" s="244"/>
      <c r="D30" s="244"/>
      <c r="E30" s="245">
        <f>F236</f>
        <v>0</v>
      </c>
      <c r="F30" s="246">
        <f t="shared" si="0"/>
        <v>0</v>
      </c>
      <c r="G30" s="1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251" t="str">
        <f>A238</f>
        <v>3.1.5. Manutenção</v>
      </c>
      <c r="B31" s="250"/>
      <c r="C31" s="244"/>
      <c r="D31" s="244"/>
      <c r="E31" s="245">
        <f>F241</f>
        <v>0</v>
      </c>
      <c r="F31" s="246">
        <f t="shared" si="0"/>
        <v>0</v>
      </c>
      <c r="G31" s="1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251" t="str">
        <f>A243</f>
        <v>3.1.6. Pneus</v>
      </c>
      <c r="B32" s="250"/>
      <c r="C32" s="244"/>
      <c r="D32" s="244"/>
      <c r="E32" s="245">
        <f>F250</f>
        <v>0</v>
      </c>
      <c r="F32" s="246">
        <f t="shared" si="0"/>
        <v>0</v>
      </c>
      <c r="G32" s="1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5">
      <c r="A33" s="597" t="str">
        <f>A252</f>
        <v>3.2 Picape Utilitária, cabine Simples 1.6</v>
      </c>
      <c r="B33" s="597"/>
      <c r="C33" s="597"/>
      <c r="D33" s="597"/>
      <c r="E33" s="245">
        <f>SUM(E34:E39)</f>
        <v>0</v>
      </c>
      <c r="F33" s="246">
        <f t="shared" si="0"/>
        <v>0</v>
      </c>
      <c r="G33" s="1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249" t="s">
        <v>210</v>
      </c>
      <c r="B34" s="250"/>
      <c r="C34" s="244"/>
      <c r="D34" s="244"/>
      <c r="E34" s="245">
        <f>F263</f>
        <v>0</v>
      </c>
      <c r="F34" s="246">
        <f t="shared" si="0"/>
        <v>0</v>
      </c>
      <c r="G34" s="1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249" t="s">
        <v>211</v>
      </c>
      <c r="B35" s="250"/>
      <c r="C35" s="244"/>
      <c r="D35" s="244"/>
      <c r="E35" s="245">
        <f>F274</f>
        <v>0</v>
      </c>
      <c r="F35" s="246">
        <f t="shared" si="0"/>
        <v>0</v>
      </c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251" t="str">
        <f>A276</f>
        <v>3.2.3. Impostos e Seguros</v>
      </c>
      <c r="B36" s="250"/>
      <c r="C36" s="244"/>
      <c r="D36" s="244"/>
      <c r="E36" s="245">
        <f>F282</f>
        <v>0</v>
      </c>
      <c r="F36" s="246">
        <f t="shared" si="0"/>
        <v>0</v>
      </c>
      <c r="G36" s="1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251" t="str">
        <f>A284</f>
        <v>3.2.4. Consumos</v>
      </c>
      <c r="B37" s="250"/>
      <c r="C37" s="244"/>
      <c r="D37" s="244"/>
      <c r="E37" s="245">
        <f>F292</f>
        <v>0</v>
      </c>
      <c r="F37" s="246">
        <f t="shared" si="0"/>
        <v>0</v>
      </c>
      <c r="G37" s="1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251" t="str">
        <f>A294</f>
        <v>3.2.5. Manutenção</v>
      </c>
      <c r="B38" s="250"/>
      <c r="C38" s="244"/>
      <c r="D38" s="244"/>
      <c r="E38" s="245">
        <f>F297</f>
        <v>0</v>
      </c>
      <c r="F38" s="246">
        <f t="shared" si="0"/>
        <v>0</v>
      </c>
      <c r="G38" s="1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251" t="str">
        <f>A299</f>
        <v>3.2.6. Pneus</v>
      </c>
      <c r="B39" s="250"/>
      <c r="C39" s="244"/>
      <c r="D39" s="244"/>
      <c r="E39" s="245">
        <f>F306</f>
        <v>0</v>
      </c>
      <c r="F39" s="246">
        <f t="shared" si="0"/>
        <v>0</v>
      </c>
      <c r="G39" s="1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247" t="str">
        <f>A314</f>
        <v>4. Benefícios e Despesas Indiretas - BDI</v>
      </c>
      <c r="B40" s="248"/>
      <c r="C40" s="240"/>
      <c r="D40" s="240"/>
      <c r="E40" s="254">
        <f>+F320</f>
        <v>0</v>
      </c>
      <c r="F40" s="242">
        <f t="shared" si="0"/>
        <v>0</v>
      </c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 x14ac:dyDescent="0.25">
      <c r="A41" s="255" t="s">
        <v>218</v>
      </c>
      <c r="B41" s="256"/>
      <c r="C41" s="257"/>
      <c r="D41" s="257"/>
      <c r="E41" s="258">
        <f>E16+E24+E25+E40</f>
        <v>0</v>
      </c>
      <c r="F41" s="425">
        <f>F16+F24+F25+F40</f>
        <v>0</v>
      </c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15"/>
      <c r="B42" s="15"/>
      <c r="C42" s="15"/>
      <c r="D42" s="17"/>
      <c r="E42" s="17"/>
      <c r="F42" s="17"/>
      <c r="G42" s="1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15"/>
      <c r="B43" s="15"/>
      <c r="C43" s="15"/>
      <c r="D43" s="17"/>
      <c r="E43" s="17"/>
      <c r="F43" s="17"/>
      <c r="G43" s="1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 x14ac:dyDescent="0.25">
      <c r="A44" s="595" t="s">
        <v>219</v>
      </c>
      <c r="B44" s="595"/>
      <c r="C44" s="595"/>
      <c r="D44" s="595"/>
      <c r="E44" s="595"/>
      <c r="F44" s="17"/>
      <c r="G44" s="1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598" t="s">
        <v>220</v>
      </c>
      <c r="B45" s="598"/>
      <c r="C45" s="598"/>
      <c r="D45" s="598"/>
      <c r="E45" s="260" t="s">
        <v>55</v>
      </c>
      <c r="F45" s="17"/>
      <c r="G45" s="1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" customHeight="1" x14ac:dyDescent="0.25">
      <c r="A46" s="261" t="str">
        <f>+A62</f>
        <v>1.1. Encarregado Geral</v>
      </c>
      <c r="B46" s="235"/>
      <c r="C46" s="235"/>
      <c r="D46" s="262"/>
      <c r="E46" s="263">
        <f>C69</f>
        <v>1</v>
      </c>
      <c r="F46" s="17"/>
      <c r="G46" s="1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" customHeight="1" x14ac:dyDescent="0.25">
      <c r="A47" s="264" t="str">
        <f>A72</f>
        <v>1.2. Gerente Geral</v>
      </c>
      <c r="B47" s="265"/>
      <c r="C47" s="265"/>
      <c r="D47" s="266"/>
      <c r="E47" s="267">
        <f>C79</f>
        <v>1</v>
      </c>
      <c r="F47" s="17"/>
      <c r="G47" s="1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" customHeight="1" x14ac:dyDescent="0.25">
      <c r="A48" s="264" t="str">
        <f>A82</f>
        <v>1.3. Técnico de Segurança do Trabalho</v>
      </c>
      <c r="B48" s="265"/>
      <c r="C48" s="265"/>
      <c r="D48" s="266"/>
      <c r="E48" s="267">
        <f>C89</f>
        <v>1</v>
      </c>
      <c r="F48" s="17"/>
      <c r="G48" s="1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" customHeight="1" x14ac:dyDescent="0.25">
      <c r="A49" s="264" t="str">
        <f>A92</f>
        <v>1.4. Responsável Técnico (Engenheiro/ 20 horas semanais)</v>
      </c>
      <c r="B49" s="265"/>
      <c r="C49" s="265"/>
      <c r="D49" s="266"/>
      <c r="E49" s="267">
        <f>C99</f>
        <v>1</v>
      </c>
      <c r="F49" s="17"/>
      <c r="G49" s="1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" customHeight="1" x14ac:dyDescent="0.25">
      <c r="A50" s="268" t="s">
        <v>221</v>
      </c>
      <c r="B50" s="269"/>
      <c r="C50" s="269"/>
      <c r="D50" s="270"/>
      <c r="E50" s="271">
        <f>SUM(E46:E49)</f>
        <v>4</v>
      </c>
      <c r="F50" s="17"/>
      <c r="G50" s="1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" customHeight="1" x14ac:dyDescent="0.25">
      <c r="A51" s="272"/>
      <c r="B51" s="121"/>
      <c r="C51" s="17"/>
      <c r="D51" s="17"/>
      <c r="E51" s="17"/>
      <c r="F51" s="17"/>
      <c r="G51" s="1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" customHeight="1" x14ac:dyDescent="0.25">
      <c r="A52" s="599" t="s">
        <v>222</v>
      </c>
      <c r="B52" s="599"/>
      <c r="C52" s="599"/>
      <c r="D52" s="599"/>
      <c r="E52" s="260" t="s">
        <v>55</v>
      </c>
      <c r="F52" s="15"/>
      <c r="G52" s="1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597" t="str">
        <f>+A196</f>
        <v>3.1. Veículo Tipo Passeio 1.0, a Gasolina – 5 passageiros</v>
      </c>
      <c r="B53" s="597"/>
      <c r="C53" s="597"/>
      <c r="D53" s="597"/>
      <c r="E53" s="273">
        <f>C206</f>
        <v>1</v>
      </c>
      <c r="F53" s="15"/>
      <c r="G53" s="1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597" t="str">
        <f>A252</f>
        <v>3.2 Picape Utilitária, cabine Simples 1.6</v>
      </c>
      <c r="B54" s="597"/>
      <c r="C54" s="597"/>
      <c r="D54" s="597"/>
      <c r="E54" s="273">
        <f>C262</f>
        <v>1</v>
      </c>
      <c r="F54" s="15"/>
      <c r="G54" s="1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" customHeight="1" x14ac:dyDescent="0.25">
      <c r="A55" s="600" t="s">
        <v>223</v>
      </c>
      <c r="B55" s="600"/>
      <c r="C55" s="600"/>
      <c r="D55" s="600"/>
      <c r="E55" s="281">
        <f>SUM(E53:E54)</f>
        <v>2</v>
      </c>
      <c r="F55" s="15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" customHeight="1" x14ac:dyDescent="0.25">
      <c r="A56" s="17"/>
      <c r="B56" s="17"/>
      <c r="C56" s="17"/>
      <c r="D56" s="15"/>
      <c r="E56" s="120"/>
      <c r="F56" s="15"/>
      <c r="G56" s="1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8.5" customHeight="1" x14ac:dyDescent="0.25">
      <c r="A57" s="426" t="s">
        <v>439</v>
      </c>
      <c r="B57" s="283">
        <v>1</v>
      </c>
      <c r="C57" s="43"/>
      <c r="D57" s="44"/>
      <c r="E57" s="217"/>
      <c r="F57" s="44"/>
      <c r="G57" s="4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28.5" customHeight="1" x14ac:dyDescent="0.25">
      <c r="A58" s="426" t="s">
        <v>440</v>
      </c>
      <c r="B58" s="283">
        <f>20/44</f>
        <v>0.45454545454545453</v>
      </c>
      <c r="C58" s="17"/>
      <c r="D58" s="15"/>
      <c r="E58" s="158"/>
      <c r="F58" s="15"/>
      <c r="G58" s="1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7"/>
      <c r="B59" s="17"/>
      <c r="C59" s="17"/>
      <c r="D59" s="15"/>
      <c r="E59" s="158"/>
      <c r="F59" s="15"/>
      <c r="G59" s="1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44" t="s">
        <v>225</v>
      </c>
      <c r="B60" s="15"/>
      <c r="C60" s="15"/>
      <c r="D60" s="17"/>
      <c r="E60" s="17"/>
      <c r="F60" s="17"/>
      <c r="G60" s="1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1.25" customHeight="1" x14ac:dyDescent="0.25">
      <c r="A61" s="15"/>
      <c r="B61" s="15"/>
      <c r="C61" s="15"/>
      <c r="D61" s="17"/>
      <c r="E61" s="17"/>
      <c r="F61" s="17"/>
      <c r="G61" s="1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3.5" customHeight="1" x14ac:dyDescent="0.25">
      <c r="A62" s="15" t="s">
        <v>441</v>
      </c>
      <c r="B62" s="15"/>
      <c r="C62" s="15"/>
      <c r="D62" s="17"/>
      <c r="E62" s="17"/>
      <c r="F62" s="17"/>
      <c r="G62" s="1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3.5" customHeight="1" x14ac:dyDescent="0.25">
      <c r="A63" s="284" t="s">
        <v>227</v>
      </c>
      <c r="B63" s="285" t="s">
        <v>98</v>
      </c>
      <c r="C63" s="285" t="s">
        <v>55</v>
      </c>
      <c r="D63" s="286" t="s">
        <v>228</v>
      </c>
      <c r="E63" s="286" t="s">
        <v>229</v>
      </c>
      <c r="F63" s="287" t="s">
        <v>230</v>
      </c>
      <c r="G63" s="288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289" t="s">
        <v>231</v>
      </c>
      <c r="B64" s="290" t="s">
        <v>232</v>
      </c>
      <c r="C64" s="290">
        <v>1</v>
      </c>
      <c r="D64" s="291"/>
      <c r="E64" s="292">
        <f>C64*D64</f>
        <v>0</v>
      </c>
      <c r="F64" s="17"/>
      <c r="G64" s="1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293" t="s">
        <v>233</v>
      </c>
      <c r="B65" s="294" t="s">
        <v>207</v>
      </c>
      <c r="C65" s="294">
        <v>0</v>
      </c>
      <c r="D65" s="295">
        <f>SUM(E64)</f>
        <v>0</v>
      </c>
      <c r="E65" s="295">
        <f>C65*D65/100</f>
        <v>0</v>
      </c>
      <c r="F65" s="17"/>
      <c r="G65" s="1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296" t="s">
        <v>234</v>
      </c>
      <c r="B66" s="143"/>
      <c r="C66" s="143"/>
      <c r="D66" s="42"/>
      <c r="E66" s="297">
        <f>SUM(E64:E65)</f>
        <v>0</v>
      </c>
      <c r="F66" s="17"/>
      <c r="G66" s="1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293" t="s">
        <v>235</v>
      </c>
      <c r="B67" s="294" t="s">
        <v>207</v>
      </c>
      <c r="C67" s="298">
        <f>'6. Encargos Sociais'!$C$37*100</f>
        <v>71.22548900000001</v>
      </c>
      <c r="D67" s="295">
        <f>E66</f>
        <v>0</v>
      </c>
      <c r="E67" s="295">
        <f>D67*C67/100</f>
        <v>0</v>
      </c>
      <c r="F67" s="17"/>
      <c r="G67" s="1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296" t="s">
        <v>442</v>
      </c>
      <c r="B68" s="143"/>
      <c r="C68" s="143"/>
      <c r="D68" s="42"/>
      <c r="E68" s="297">
        <f>E66+E67</f>
        <v>0</v>
      </c>
      <c r="F68" s="17"/>
      <c r="G68" s="1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293" t="s">
        <v>237</v>
      </c>
      <c r="B69" s="294" t="s">
        <v>238</v>
      </c>
      <c r="C69" s="299">
        <v>1</v>
      </c>
      <c r="D69" s="295">
        <f>E68</f>
        <v>0</v>
      </c>
      <c r="E69" s="295">
        <f>C69*D69</f>
        <v>0</v>
      </c>
      <c r="F69" s="17"/>
      <c r="G69" s="1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3.5" customHeight="1" x14ac:dyDescent="0.25">
      <c r="A70" s="15"/>
      <c r="B70" s="15"/>
      <c r="C70" s="15"/>
      <c r="D70" s="205" t="s">
        <v>239</v>
      </c>
      <c r="E70" s="300">
        <f>$B$57</f>
        <v>1</v>
      </c>
      <c r="F70" s="301">
        <f>E69*E70</f>
        <v>0</v>
      </c>
      <c r="G70" s="1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1.25" customHeight="1" x14ac:dyDescent="0.25">
      <c r="A71" s="15"/>
      <c r="B71" s="15"/>
      <c r="C71" s="15"/>
      <c r="D71" s="17"/>
      <c r="E71" s="17"/>
      <c r="F71" s="17"/>
      <c r="G71" s="43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1.25" customHeight="1" x14ac:dyDescent="0.25">
      <c r="A72" s="15" t="s">
        <v>443</v>
      </c>
      <c r="B72" s="15"/>
      <c r="C72" s="15"/>
      <c r="D72" s="17"/>
      <c r="E72" s="17"/>
      <c r="F72" s="17"/>
      <c r="G72" s="1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1.25" customHeight="1" x14ac:dyDescent="0.25">
      <c r="A73" s="284" t="s">
        <v>227</v>
      </c>
      <c r="B73" s="285" t="s">
        <v>98</v>
      </c>
      <c r="C73" s="285" t="s">
        <v>55</v>
      </c>
      <c r="D73" s="286" t="s">
        <v>228</v>
      </c>
      <c r="E73" s="286" t="s">
        <v>229</v>
      </c>
      <c r="F73" s="287" t="s">
        <v>230</v>
      </c>
      <c r="G73" s="288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1.25" customHeight="1" x14ac:dyDescent="0.25">
      <c r="A74" s="289" t="s">
        <v>231</v>
      </c>
      <c r="B74" s="290" t="s">
        <v>232</v>
      </c>
      <c r="C74" s="290">
        <v>1</v>
      </c>
      <c r="D74" s="291"/>
      <c r="E74" s="292">
        <f>C74*D74</f>
        <v>0</v>
      </c>
      <c r="F74" s="17"/>
      <c r="G74" s="1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1.25" customHeight="1" x14ac:dyDescent="0.25">
      <c r="A75" s="293" t="s">
        <v>233</v>
      </c>
      <c r="B75" s="294" t="s">
        <v>207</v>
      </c>
      <c r="C75" s="294">
        <v>0</v>
      </c>
      <c r="D75" s="295">
        <f>SUM(E74)</f>
        <v>0</v>
      </c>
      <c r="E75" s="295">
        <f>C75*D75/100</f>
        <v>0</v>
      </c>
      <c r="F75" s="17"/>
      <c r="G75" s="1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1.25" customHeight="1" x14ac:dyDescent="0.25">
      <c r="A76" s="296" t="s">
        <v>234</v>
      </c>
      <c r="B76" s="143"/>
      <c r="C76" s="143"/>
      <c r="D76" s="42"/>
      <c r="E76" s="297">
        <f>SUM(E74:E75)</f>
        <v>0</v>
      </c>
      <c r="F76" s="17"/>
      <c r="G76" s="1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1.25" customHeight="1" x14ac:dyDescent="0.25">
      <c r="A77" s="293" t="s">
        <v>235</v>
      </c>
      <c r="B77" s="294" t="s">
        <v>207</v>
      </c>
      <c r="C77" s="298">
        <f>'6. Encargos Sociais'!$C$37*100</f>
        <v>71.22548900000001</v>
      </c>
      <c r="D77" s="295">
        <f>E76</f>
        <v>0</v>
      </c>
      <c r="E77" s="295">
        <f>D77*C77/100</f>
        <v>0</v>
      </c>
      <c r="F77" s="17"/>
      <c r="G77" s="17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1.25" customHeight="1" x14ac:dyDescent="0.25">
      <c r="A78" s="296" t="s">
        <v>444</v>
      </c>
      <c r="B78" s="143"/>
      <c r="C78" s="143"/>
      <c r="D78" s="42"/>
      <c r="E78" s="297">
        <f>E76+E77</f>
        <v>0</v>
      </c>
      <c r="F78" s="17"/>
      <c r="G78" s="1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1.25" customHeight="1" x14ac:dyDescent="0.25">
      <c r="A79" s="293" t="s">
        <v>237</v>
      </c>
      <c r="B79" s="294" t="s">
        <v>238</v>
      </c>
      <c r="C79" s="299">
        <v>1</v>
      </c>
      <c r="D79" s="295">
        <f>E78</f>
        <v>0</v>
      </c>
      <c r="E79" s="295">
        <f>C79*D79</f>
        <v>0</v>
      </c>
      <c r="F79" s="17"/>
      <c r="G79" s="1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1.25" customHeight="1" x14ac:dyDescent="0.25">
      <c r="A80" s="15"/>
      <c r="B80" s="15"/>
      <c r="C80" s="15"/>
      <c r="D80" s="205" t="s">
        <v>239</v>
      </c>
      <c r="E80" s="300">
        <f>$B$57</f>
        <v>1</v>
      </c>
      <c r="F80" s="301">
        <f>E79*E80</f>
        <v>0</v>
      </c>
      <c r="G80" s="17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1.25" customHeight="1" x14ac:dyDescent="0.25">
      <c r="A81" s="15"/>
      <c r="B81" s="15"/>
      <c r="C81" s="15"/>
      <c r="D81" s="17"/>
      <c r="E81" s="17"/>
      <c r="F81" s="17"/>
      <c r="G81" s="1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15" t="s">
        <v>445</v>
      </c>
      <c r="B82" s="15"/>
      <c r="C82" s="15"/>
      <c r="D82" s="17"/>
      <c r="E82" s="17"/>
      <c r="F82" s="17"/>
      <c r="G82" s="1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284" t="s">
        <v>227</v>
      </c>
      <c r="B83" s="285" t="s">
        <v>98</v>
      </c>
      <c r="C83" s="285" t="s">
        <v>55</v>
      </c>
      <c r="D83" s="286" t="s">
        <v>228</v>
      </c>
      <c r="E83" s="286" t="s">
        <v>229</v>
      </c>
      <c r="F83" s="287" t="s">
        <v>230</v>
      </c>
      <c r="G83" s="17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2.75" customHeight="1" x14ac:dyDescent="0.25">
      <c r="A84" s="289" t="s">
        <v>231</v>
      </c>
      <c r="B84" s="290" t="s">
        <v>232</v>
      </c>
      <c r="C84" s="290">
        <v>1</v>
      </c>
      <c r="D84" s="291"/>
      <c r="E84" s="292">
        <f>C84*D84</f>
        <v>0</v>
      </c>
      <c r="F84" s="17"/>
      <c r="G84" s="1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293" t="s">
        <v>233</v>
      </c>
      <c r="B85" s="294" t="s">
        <v>207</v>
      </c>
      <c r="C85" s="294">
        <v>0</v>
      </c>
      <c r="D85" s="295">
        <f>SUM(E84)</f>
        <v>0</v>
      </c>
      <c r="E85" s="295">
        <f>C85*D85/100</f>
        <v>0</v>
      </c>
      <c r="F85" s="17"/>
      <c r="G85" s="1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296" t="s">
        <v>234</v>
      </c>
      <c r="B86" s="143"/>
      <c r="C86" s="143"/>
      <c r="D86" s="42"/>
      <c r="E86" s="297">
        <f>SUM(E84:E85)</f>
        <v>0</v>
      </c>
      <c r="F86" s="43"/>
      <c r="G86" s="43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.75" customHeight="1" x14ac:dyDescent="0.25">
      <c r="A87" s="293" t="s">
        <v>235</v>
      </c>
      <c r="B87" s="294" t="s">
        <v>207</v>
      </c>
      <c r="C87" s="298">
        <f>'6. Encargos Sociais'!$C$37*100</f>
        <v>71.22548900000001</v>
      </c>
      <c r="D87" s="295">
        <f>E86</f>
        <v>0</v>
      </c>
      <c r="E87" s="295">
        <f>D87*C87/100</f>
        <v>0</v>
      </c>
      <c r="F87" s="17"/>
      <c r="G87" s="1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296" t="s">
        <v>446</v>
      </c>
      <c r="B88" s="143"/>
      <c r="C88" s="143"/>
      <c r="D88" s="42"/>
      <c r="E88" s="297">
        <f>E86+E87</f>
        <v>0</v>
      </c>
      <c r="F88" s="43"/>
      <c r="G88" s="43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.75" customHeight="1" x14ac:dyDescent="0.25">
      <c r="A89" s="293" t="s">
        <v>237</v>
      </c>
      <c r="B89" s="294" t="s">
        <v>238</v>
      </c>
      <c r="C89" s="299">
        <v>1</v>
      </c>
      <c r="D89" s="295">
        <f>E88</f>
        <v>0</v>
      </c>
      <c r="E89" s="295">
        <f>C89*D89</f>
        <v>0</v>
      </c>
      <c r="F89" s="17"/>
      <c r="G89" s="1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205" t="s">
        <v>239</v>
      </c>
      <c r="E90" s="300">
        <f>$B$57</f>
        <v>1</v>
      </c>
      <c r="F90" s="301">
        <f>E89*E90</f>
        <v>0</v>
      </c>
      <c r="G90" s="1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1.25" customHeight="1" x14ac:dyDescent="0.25">
      <c r="A91" s="15"/>
      <c r="B91" s="15"/>
      <c r="C91" s="15"/>
      <c r="D91" s="17"/>
      <c r="E91" s="17"/>
      <c r="F91" s="17"/>
      <c r="G91" s="1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1.25" customHeight="1" x14ac:dyDescent="0.25">
      <c r="A92" s="15" t="s">
        <v>447</v>
      </c>
      <c r="B92" s="15"/>
      <c r="C92" s="15"/>
      <c r="D92" s="17"/>
      <c r="E92" s="17"/>
      <c r="F92" s="17"/>
      <c r="G92" s="1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1.25" customHeight="1" x14ac:dyDescent="0.25">
      <c r="A93" s="284" t="s">
        <v>227</v>
      </c>
      <c r="B93" s="285" t="s">
        <v>98</v>
      </c>
      <c r="C93" s="285" t="s">
        <v>55</v>
      </c>
      <c r="D93" s="286" t="s">
        <v>228</v>
      </c>
      <c r="E93" s="286" t="s">
        <v>229</v>
      </c>
      <c r="F93" s="287" t="s">
        <v>230</v>
      </c>
      <c r="G93" s="288"/>
      <c r="H93" s="152"/>
      <c r="I93" s="152"/>
      <c r="J93" s="152"/>
      <c r="K93" s="152"/>
      <c r="L93" s="152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1.25" customHeight="1" x14ac:dyDescent="0.25">
      <c r="A94" s="289" t="s">
        <v>231</v>
      </c>
      <c r="B94" s="290" t="s">
        <v>232</v>
      </c>
      <c r="C94" s="290">
        <v>1</v>
      </c>
      <c r="D94" s="291"/>
      <c r="E94" s="292">
        <f>C94*D94</f>
        <v>0</v>
      </c>
      <c r="F94" s="17"/>
      <c r="G94" s="1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1.25" customHeight="1" x14ac:dyDescent="0.25">
      <c r="A95" s="293" t="s">
        <v>233</v>
      </c>
      <c r="B95" s="294" t="s">
        <v>207</v>
      </c>
      <c r="C95" s="294">
        <v>0</v>
      </c>
      <c r="D95" s="295">
        <f>SUM(E94)</f>
        <v>0</v>
      </c>
      <c r="E95" s="295">
        <f>C95*D95/100</f>
        <v>0</v>
      </c>
      <c r="F95" s="17"/>
      <c r="G95" s="1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1.25" customHeight="1" x14ac:dyDescent="0.25">
      <c r="A96" s="296" t="s">
        <v>234</v>
      </c>
      <c r="B96" s="143"/>
      <c r="C96" s="143"/>
      <c r="D96" s="42"/>
      <c r="E96" s="297">
        <f>SUM(E94:E95)</f>
        <v>0</v>
      </c>
      <c r="F96" s="43"/>
      <c r="G96" s="43"/>
      <c r="H96" s="44"/>
      <c r="I96" s="44"/>
      <c r="J96" s="44"/>
      <c r="K96" s="44"/>
      <c r="L96" s="44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1.25" customHeight="1" x14ac:dyDescent="0.25">
      <c r="A97" s="293" t="s">
        <v>235</v>
      </c>
      <c r="B97" s="294" t="s">
        <v>207</v>
      </c>
      <c r="C97" s="298">
        <f>'6. Encargos Sociais'!$C$37*100</f>
        <v>71.22548900000001</v>
      </c>
      <c r="D97" s="295">
        <f>E96</f>
        <v>0</v>
      </c>
      <c r="E97" s="295">
        <f>D97*C97/100</f>
        <v>0</v>
      </c>
      <c r="F97" s="17"/>
      <c r="G97" s="1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1.25" customHeight="1" x14ac:dyDescent="0.25">
      <c r="A98" s="296" t="s">
        <v>448</v>
      </c>
      <c r="B98" s="143"/>
      <c r="C98" s="143"/>
      <c r="D98" s="42"/>
      <c r="E98" s="297">
        <f>E96+E97</f>
        <v>0</v>
      </c>
      <c r="F98" s="43"/>
      <c r="G98" s="43"/>
      <c r="H98" s="44"/>
      <c r="I98" s="44"/>
      <c r="J98" s="44"/>
      <c r="K98" s="44"/>
      <c r="L98" s="44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1.25" customHeight="1" x14ac:dyDescent="0.25">
      <c r="A99" s="293" t="s">
        <v>237</v>
      </c>
      <c r="B99" s="294" t="s">
        <v>238</v>
      </c>
      <c r="C99" s="299">
        <v>1</v>
      </c>
      <c r="D99" s="295">
        <f>E98</f>
        <v>0</v>
      </c>
      <c r="E99" s="295">
        <f>C99*D99</f>
        <v>0</v>
      </c>
      <c r="F99" s="17"/>
      <c r="G99" s="1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1.25" customHeight="1" x14ac:dyDescent="0.25">
      <c r="A100" s="15"/>
      <c r="B100" s="15"/>
      <c r="C100" s="15"/>
      <c r="D100" s="205" t="s">
        <v>239</v>
      </c>
      <c r="E100" s="300">
        <f>B58</f>
        <v>0.45454545454545453</v>
      </c>
      <c r="F100" s="301">
        <f>E99*E100</f>
        <v>0</v>
      </c>
      <c r="G100" s="1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1.25" customHeight="1" x14ac:dyDescent="0.25">
      <c r="A101" s="15"/>
      <c r="B101" s="15"/>
      <c r="C101" s="15"/>
      <c r="D101" s="17"/>
      <c r="E101" s="17"/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 t="s">
        <v>449</v>
      </c>
      <c r="B102" s="306"/>
      <c r="C102" s="15"/>
      <c r="D102" s="15"/>
      <c r="E102" s="15"/>
      <c r="F102" s="1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284" t="s">
        <v>227</v>
      </c>
      <c r="B103" s="285" t="s">
        <v>98</v>
      </c>
      <c r="C103" s="285" t="s">
        <v>55</v>
      </c>
      <c r="D103" s="286" t="s">
        <v>228</v>
      </c>
      <c r="E103" s="286" t="s">
        <v>229</v>
      </c>
      <c r="F103" s="287" t="s">
        <v>230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293" t="s">
        <v>249</v>
      </c>
      <c r="B104" s="294" t="s">
        <v>250</v>
      </c>
      <c r="C104" s="307">
        <v>1</v>
      </c>
      <c r="D104" s="308"/>
      <c r="E104" s="295"/>
      <c r="F104" s="1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293" t="s">
        <v>251</v>
      </c>
      <c r="B105" s="294" t="s">
        <v>252</v>
      </c>
      <c r="C105" s="309">
        <f>TRUNC((365-52-52-10)/12,2)</f>
        <v>20.91</v>
      </c>
      <c r="D105" s="295"/>
      <c r="E105" s="295"/>
      <c r="F105" s="1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293" t="str">
        <f>A72</f>
        <v>1.2. Gerente Geral</v>
      </c>
      <c r="B106" s="294" t="s">
        <v>253</v>
      </c>
      <c r="C106" s="310">
        <f>$C$105*2*(C79)</f>
        <v>41.82</v>
      </c>
      <c r="D106" s="292">
        <f>IFERROR((($C$105*2*$D$104)-(E74*0.06*$C$105/26))/($C$105*2),"-")</f>
        <v>0</v>
      </c>
      <c r="E106" s="295">
        <f>IFERROR(C106*D106,"-")</f>
        <v>0</v>
      </c>
      <c r="F106" s="1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293" t="str">
        <f>A82</f>
        <v>1.3. Técnico de Segurança do Trabalho</v>
      </c>
      <c r="B107" s="294" t="s">
        <v>253</v>
      </c>
      <c r="C107" s="310">
        <f>$C$105*2*(C89)</f>
        <v>41.82</v>
      </c>
      <c r="D107" s="292">
        <f>IFERROR((($C$105*2*$D$104)-(E84*0.06*$C$105/26))/($C$105*2),"-")</f>
        <v>0</v>
      </c>
      <c r="E107" s="295">
        <f>IFERROR(C107*D107,"-")</f>
        <v>0</v>
      </c>
      <c r="F107" s="1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314" t="str">
        <f>A92</f>
        <v>1.4. Responsável Técnico (Engenheiro/ 20 horas semanais)</v>
      </c>
      <c r="B108" s="294" t="s">
        <v>253</v>
      </c>
      <c r="C108" s="310">
        <f>$C$105*2*(C99)</f>
        <v>41.82</v>
      </c>
      <c r="D108" s="292">
        <f>IFERROR((($C$105*2*$D$104)-(E94*0.06*$C$105/26))/($C$105*2),"-")</f>
        <v>0</v>
      </c>
      <c r="E108" s="295">
        <f>IFERROR(C108*D108,"-")</f>
        <v>0</v>
      </c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7"/>
      <c r="E109" s="17"/>
      <c r="F109" s="312">
        <f>SUM(E106:E108)</f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7"/>
      <c r="E110" s="17"/>
      <c r="F110" s="43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 t="s">
        <v>450</v>
      </c>
      <c r="B111" s="306"/>
      <c r="C111" s="15"/>
      <c r="D111" s="15"/>
      <c r="E111" s="15"/>
      <c r="F111" s="1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284" t="s">
        <v>227</v>
      </c>
      <c r="B112" s="285" t="s">
        <v>98</v>
      </c>
      <c r="C112" s="285" t="s">
        <v>55</v>
      </c>
      <c r="D112" s="286" t="s">
        <v>228</v>
      </c>
      <c r="E112" s="286" t="s">
        <v>229</v>
      </c>
      <c r="F112" s="287" t="s">
        <v>230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293" t="s">
        <v>249</v>
      </c>
      <c r="B113" s="294" t="s">
        <v>250</v>
      </c>
      <c r="C113" s="307">
        <v>1</v>
      </c>
      <c r="D113" s="308"/>
      <c r="E113" s="295"/>
      <c r="F113" s="1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293" t="s">
        <v>251</v>
      </c>
      <c r="B114" s="294" t="s">
        <v>252</v>
      </c>
      <c r="C114" s="309">
        <v>25.25</v>
      </c>
      <c r="D114" s="295"/>
      <c r="E114" s="295"/>
      <c r="F114" s="17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293" t="str">
        <f>A62</f>
        <v>1.1. Encarregado Geral</v>
      </c>
      <c r="B115" s="294" t="s">
        <v>253</v>
      </c>
      <c r="C115" s="310">
        <f>$C$114*2*(C69)</f>
        <v>50.5</v>
      </c>
      <c r="D115" s="292">
        <f>IFERROR((($C$114*2*$D$113)-(E64*0.06*$C$114/26))/($C$114*2),"-")</f>
        <v>0</v>
      </c>
      <c r="E115" s="295">
        <f>IFERROR(C115*D115,"-")</f>
        <v>0</v>
      </c>
      <c r="F115" s="1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7"/>
      <c r="E116" s="17"/>
      <c r="F116" s="312">
        <f>SUM(E115)</f>
        <v>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1.25" customHeight="1" x14ac:dyDescent="0.25">
      <c r="A117" s="15"/>
      <c r="B117" s="15"/>
      <c r="C117" s="15"/>
      <c r="D117" s="17"/>
      <c r="E117" s="17"/>
      <c r="F117" s="17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 t="s">
        <v>451</v>
      </c>
      <c r="B118" s="15"/>
      <c r="C118" s="15"/>
      <c r="D118" s="17"/>
      <c r="E118" s="17"/>
      <c r="F118" s="43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284" t="s">
        <v>227</v>
      </c>
      <c r="B119" s="285" t="s">
        <v>98</v>
      </c>
      <c r="C119" s="285" t="s">
        <v>55</v>
      </c>
      <c r="D119" s="286" t="s">
        <v>228</v>
      </c>
      <c r="E119" s="286" t="s">
        <v>229</v>
      </c>
      <c r="F119" s="287" t="s">
        <v>230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293" t="str">
        <f>A62</f>
        <v>1.1. Encarregado Geral</v>
      </c>
      <c r="B120" s="294" t="s">
        <v>255</v>
      </c>
      <c r="C120" s="310">
        <f>C114</f>
        <v>25.25</v>
      </c>
      <c r="D120" s="313"/>
      <c r="E120" s="300">
        <f>C120*D120</f>
        <v>0</v>
      </c>
      <c r="F120" s="43"/>
      <c r="G120" s="288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293" t="str">
        <f>A72</f>
        <v>1.2. Gerente Geral</v>
      </c>
      <c r="B121" s="294" t="s">
        <v>255</v>
      </c>
      <c r="C121" s="310">
        <f>$C$105*(E47)</f>
        <v>20.91</v>
      </c>
      <c r="D121" s="313"/>
      <c r="E121" s="300">
        <f>C121*D121</f>
        <v>0</v>
      </c>
      <c r="F121" s="43"/>
      <c r="G121" s="288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293" t="str">
        <f>A82</f>
        <v>1.3. Técnico de Segurança do Trabalho</v>
      </c>
      <c r="B122" s="294" t="s">
        <v>255</v>
      </c>
      <c r="C122" s="310">
        <f>$C$105*(E48)</f>
        <v>20.91</v>
      </c>
      <c r="D122" s="313"/>
      <c r="E122" s="300">
        <f>C122*D122</f>
        <v>0</v>
      </c>
      <c r="F122" s="43"/>
      <c r="G122" s="1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7"/>
      <c r="E123" s="17"/>
      <c r="F123" s="312">
        <f>SUM(E120:E122)</f>
        <v>0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7"/>
      <c r="E124" s="17"/>
      <c r="F124" s="1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 t="s">
        <v>452</v>
      </c>
      <c r="B125" s="15"/>
      <c r="C125" s="15"/>
      <c r="D125" s="17"/>
      <c r="E125" s="17"/>
      <c r="F125" s="43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284" t="s">
        <v>227</v>
      </c>
      <c r="B126" s="285" t="s">
        <v>98</v>
      </c>
      <c r="C126" s="285" t="s">
        <v>55</v>
      </c>
      <c r="D126" s="286" t="s">
        <v>228</v>
      </c>
      <c r="E126" s="286" t="s">
        <v>229</v>
      </c>
      <c r="F126" s="287" t="s">
        <v>230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293" t="str">
        <f>+A120</f>
        <v>1.1. Encarregado Geral</v>
      </c>
      <c r="B127" s="294" t="s">
        <v>255</v>
      </c>
      <c r="C127" s="310">
        <f>E46</f>
        <v>1</v>
      </c>
      <c r="D127" s="313">
        <v>0</v>
      </c>
      <c r="E127" s="300">
        <f>C127*D127</f>
        <v>0</v>
      </c>
      <c r="F127" s="43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293" t="str">
        <f>+A121</f>
        <v>1.2. Gerente Geral</v>
      </c>
      <c r="B128" s="294" t="s">
        <v>255</v>
      </c>
      <c r="C128" s="310">
        <f>E47</f>
        <v>1</v>
      </c>
      <c r="D128" s="313">
        <v>0</v>
      </c>
      <c r="E128" s="300">
        <f>C128*D128</f>
        <v>0</v>
      </c>
      <c r="F128" s="43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293" t="str">
        <f>+A122</f>
        <v>1.3. Técnico de Segurança do Trabalho</v>
      </c>
      <c r="B129" s="294" t="s">
        <v>255</v>
      </c>
      <c r="C129" s="310">
        <f>E48</f>
        <v>1</v>
      </c>
      <c r="D129" s="313">
        <v>0</v>
      </c>
      <c r="E129" s="300">
        <f>C129*D129</f>
        <v>0</v>
      </c>
      <c r="F129" s="43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205" t="s">
        <v>239</v>
      </c>
      <c r="E130" s="300">
        <f>$B$57</f>
        <v>1</v>
      </c>
      <c r="F130" s="312">
        <f>SUM(E127:E129)*E130</f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7"/>
      <c r="E131" s="17"/>
      <c r="F131" s="1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316" t="s">
        <v>257</v>
      </c>
      <c r="B132" s="317"/>
      <c r="C132" s="317"/>
      <c r="D132" s="257"/>
      <c r="E132" s="318"/>
      <c r="F132" s="312">
        <f>F70+F80+F90+F100+F109+F116+F123+F130</f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7"/>
      <c r="E133" s="17"/>
      <c r="F133" s="17"/>
      <c r="G133" s="1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44" t="s">
        <v>258</v>
      </c>
      <c r="B134" s="15"/>
      <c r="C134" s="15"/>
      <c r="D134" s="17"/>
      <c r="E134" s="17"/>
      <c r="F134" s="1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1.25" customHeight="1" x14ac:dyDescent="0.25">
      <c r="A135" s="15"/>
      <c r="B135" s="15"/>
      <c r="C135" s="15"/>
      <c r="D135" s="17"/>
      <c r="E135" s="17"/>
      <c r="F135" s="1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3.5" customHeight="1" x14ac:dyDescent="0.25">
      <c r="A136" s="15" t="s">
        <v>453</v>
      </c>
      <c r="B136" s="15"/>
      <c r="C136" s="15"/>
      <c r="D136" s="17"/>
      <c r="E136" s="17"/>
      <c r="F136" s="1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1.25" customHeight="1" x14ac:dyDescent="0.25">
      <c r="A137" s="15"/>
      <c r="B137" s="15"/>
      <c r="C137" s="15"/>
      <c r="D137" s="17"/>
      <c r="E137" s="17"/>
      <c r="F137" s="1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7.75" customHeight="1" x14ac:dyDescent="0.25">
      <c r="A138" s="284" t="s">
        <v>227</v>
      </c>
      <c r="B138" s="285" t="s">
        <v>98</v>
      </c>
      <c r="C138" s="319" t="s">
        <v>260</v>
      </c>
      <c r="D138" s="286" t="s">
        <v>228</v>
      </c>
      <c r="E138" s="286" t="s">
        <v>229</v>
      </c>
      <c r="F138" s="287" t="s">
        <v>230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289" t="s">
        <v>134</v>
      </c>
      <c r="B139" s="290" t="s">
        <v>255</v>
      </c>
      <c r="C139" s="321">
        <f>12/'0. Qtdades e Custos'!C164</f>
        <v>12</v>
      </c>
      <c r="D139" s="291">
        <f>VLOOKUP(A139,'0. Qtdades e Custos'!$B$198:$F$212,4,0)</f>
        <v>0</v>
      </c>
      <c r="E139" s="292">
        <f t="shared" ref="E139:E147" si="1">IFERROR(D139/C139,0)</f>
        <v>0</v>
      </c>
      <c r="F139" s="1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289" t="s">
        <v>135</v>
      </c>
      <c r="B140" s="294" t="s">
        <v>255</v>
      </c>
      <c r="C140" s="321">
        <f>12/'0. Qtdades e Custos'!C165</f>
        <v>6</v>
      </c>
      <c r="D140" s="291">
        <f>VLOOKUP(A140,'0. Qtdades e Custos'!$B$198:$F$212,4,0)</f>
        <v>0</v>
      </c>
      <c r="E140" s="292">
        <f t="shared" si="1"/>
        <v>0</v>
      </c>
      <c r="F140" s="1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320" t="s">
        <v>136</v>
      </c>
      <c r="B141" s="294" t="s">
        <v>255</v>
      </c>
      <c r="C141" s="321">
        <f>12/'0. Qtdades e Custos'!C166</f>
        <v>6</v>
      </c>
      <c r="D141" s="291">
        <f>VLOOKUP(A141,'0. Qtdades e Custos'!$B$198:$F$212,4,0)</f>
        <v>0</v>
      </c>
      <c r="E141" s="292">
        <f t="shared" si="1"/>
        <v>0</v>
      </c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320" t="s">
        <v>137</v>
      </c>
      <c r="B142" s="294" t="s">
        <v>255</v>
      </c>
      <c r="C142" s="321">
        <f>12/'0. Qtdades e Custos'!C167</f>
        <v>6</v>
      </c>
      <c r="D142" s="291">
        <f>VLOOKUP(A142,'0. Qtdades e Custos'!$B$198:$F$212,4,0)</f>
        <v>0</v>
      </c>
      <c r="E142" s="292">
        <f t="shared" si="1"/>
        <v>0</v>
      </c>
      <c r="F142" s="1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289" t="s">
        <v>138</v>
      </c>
      <c r="B143" s="294" t="s">
        <v>255</v>
      </c>
      <c r="C143" s="321">
        <f>12/'0. Qtdades e Custos'!C168</f>
        <v>12</v>
      </c>
      <c r="D143" s="291">
        <f>VLOOKUP(A143,'0. Qtdades e Custos'!$B$198:$F$212,4,0)</f>
        <v>0</v>
      </c>
      <c r="E143" s="292">
        <f t="shared" si="1"/>
        <v>0</v>
      </c>
      <c r="F143" s="17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289" t="s">
        <v>139</v>
      </c>
      <c r="B144" s="294" t="s">
        <v>255</v>
      </c>
      <c r="C144" s="321">
        <f>12/'0. Qtdades e Custos'!C169</f>
        <v>12</v>
      </c>
      <c r="D144" s="291">
        <f>VLOOKUP(A144,'0. Qtdades e Custos'!$B$198:$F$212,4,0)</f>
        <v>0</v>
      </c>
      <c r="E144" s="292">
        <f t="shared" si="1"/>
        <v>0</v>
      </c>
      <c r="F144" s="17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293" t="s">
        <v>140</v>
      </c>
      <c r="B145" s="294" t="s">
        <v>255</v>
      </c>
      <c r="C145" s="321">
        <f>12/'0. Qtdades e Custos'!C170</f>
        <v>12</v>
      </c>
      <c r="D145" s="291">
        <f>VLOOKUP(A145,'0. Qtdades e Custos'!$B$198:$F$212,4,0)</f>
        <v>0</v>
      </c>
      <c r="E145" s="292">
        <f t="shared" si="1"/>
        <v>0</v>
      </c>
      <c r="F145" s="1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293" t="s">
        <v>144</v>
      </c>
      <c r="B146" s="294" t="s">
        <v>255</v>
      </c>
      <c r="C146" s="321">
        <f>12/'0. Qtdades e Custos'!C171</f>
        <v>4</v>
      </c>
      <c r="D146" s="291">
        <f>VLOOKUP(A146,'0. Qtdades e Custos'!$B$198:$F$212,4,0)</f>
        <v>0</v>
      </c>
      <c r="E146" s="292">
        <f t="shared" si="1"/>
        <v>0</v>
      </c>
      <c r="F146" s="17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293" t="s">
        <v>145</v>
      </c>
      <c r="B147" s="294" t="s">
        <v>171</v>
      </c>
      <c r="C147" s="321">
        <f>12/'0. Qtdades e Custos'!C172</f>
        <v>12</v>
      </c>
      <c r="D147" s="291">
        <f>VLOOKUP(A147,'0. Qtdades e Custos'!$B$198:$F$212,4,0)</f>
        <v>0</v>
      </c>
      <c r="E147" s="292">
        <f t="shared" si="1"/>
        <v>0</v>
      </c>
      <c r="F147" s="17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293" t="s">
        <v>237</v>
      </c>
      <c r="B148" s="294" t="s">
        <v>238</v>
      </c>
      <c r="C148" s="323">
        <f>E46</f>
        <v>1</v>
      </c>
      <c r="D148" s="295">
        <f>+SUM(E139:E147)</f>
        <v>0</v>
      </c>
      <c r="E148" s="295">
        <f>C148*D148</f>
        <v>0</v>
      </c>
      <c r="F148" s="17"/>
      <c r="G148" s="17"/>
      <c r="H148" s="15"/>
      <c r="I148" s="15"/>
      <c r="J148" s="15"/>
      <c r="K148" s="15"/>
      <c r="L148" s="15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5">
      <c r="A149" s="15"/>
      <c r="B149" s="15"/>
      <c r="C149" s="15"/>
      <c r="D149" s="205" t="s">
        <v>239</v>
      </c>
      <c r="E149" s="300">
        <f>$B$57</f>
        <v>1</v>
      </c>
      <c r="F149" s="301">
        <f>E148*E149</f>
        <v>0</v>
      </c>
      <c r="G149" s="17"/>
      <c r="H149" s="15"/>
      <c r="I149" s="15"/>
      <c r="J149" s="15"/>
      <c r="K149" s="15"/>
      <c r="L149" s="15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1.25" customHeight="1" x14ac:dyDescent="0.25">
      <c r="A150" s="15"/>
      <c r="B150" s="15"/>
      <c r="C150" s="15"/>
      <c r="D150" s="17"/>
      <c r="E150" s="17"/>
      <c r="F150" s="17"/>
      <c r="G150" s="17"/>
      <c r="H150" s="15"/>
      <c r="I150" s="15"/>
      <c r="J150" s="15"/>
      <c r="K150" s="15"/>
      <c r="L150" s="15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1.25" customHeight="1" x14ac:dyDescent="0.25">
      <c r="A151" s="15" t="s">
        <v>454</v>
      </c>
      <c r="B151" s="15"/>
      <c r="C151" s="15"/>
      <c r="D151" s="17"/>
      <c r="E151" s="17"/>
      <c r="F151" s="17"/>
      <c r="G151" s="17"/>
      <c r="H151" s="15"/>
      <c r="I151" s="15"/>
      <c r="J151" s="15"/>
      <c r="K151" s="15"/>
      <c r="L151" s="15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1.25" customHeight="1" x14ac:dyDescent="0.25">
      <c r="A152" s="15"/>
      <c r="B152" s="15"/>
      <c r="C152" s="15"/>
      <c r="D152" s="17"/>
      <c r="E152" s="17"/>
      <c r="F152" s="17"/>
      <c r="G152" s="17"/>
      <c r="H152" s="15"/>
      <c r="I152" s="15"/>
      <c r="J152" s="15"/>
      <c r="K152" s="15"/>
      <c r="L152" s="15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1.25" customHeight="1" x14ac:dyDescent="0.25">
      <c r="A153" s="284" t="s">
        <v>227</v>
      </c>
      <c r="B153" s="285" t="s">
        <v>98</v>
      </c>
      <c r="C153" s="319" t="s">
        <v>260</v>
      </c>
      <c r="D153" s="286" t="s">
        <v>228</v>
      </c>
      <c r="E153" s="286" t="s">
        <v>229</v>
      </c>
      <c r="F153" s="287" t="s">
        <v>230</v>
      </c>
      <c r="G153" s="17"/>
      <c r="H153" s="15"/>
      <c r="I153" s="15"/>
      <c r="J153" s="15"/>
      <c r="K153" s="15"/>
      <c r="L153" s="15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1.25" customHeight="1" x14ac:dyDescent="0.25">
      <c r="A154" s="289" t="s">
        <v>134</v>
      </c>
      <c r="B154" s="290" t="s">
        <v>255</v>
      </c>
      <c r="C154" s="321">
        <f>12/'0. Qtdades e Custos'!F164</f>
        <v>12</v>
      </c>
      <c r="D154" s="291">
        <f>VLOOKUP(A154,'0. Qtdades e Custos'!$B$198:$F$212,4,0)</f>
        <v>0</v>
      </c>
      <c r="E154" s="292">
        <f t="shared" ref="E154:E162" si="2">IFERROR(D154/C154,0)</f>
        <v>0</v>
      </c>
      <c r="F154" s="17"/>
      <c r="G154" s="17"/>
      <c r="H154" s="15"/>
      <c r="I154" s="15"/>
      <c r="J154" s="15"/>
      <c r="K154" s="15"/>
      <c r="L154" s="15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1.25" customHeight="1" x14ac:dyDescent="0.25">
      <c r="A155" s="289" t="s">
        <v>135</v>
      </c>
      <c r="B155" s="294" t="s">
        <v>255</v>
      </c>
      <c r="C155" s="321">
        <f>12/'0. Qtdades e Custos'!F165</f>
        <v>6</v>
      </c>
      <c r="D155" s="291">
        <f>VLOOKUP(A155,'0. Qtdades e Custos'!$B$198:$F$212,4,0)</f>
        <v>0</v>
      </c>
      <c r="E155" s="292">
        <f t="shared" si="2"/>
        <v>0</v>
      </c>
      <c r="F155" s="17"/>
      <c r="G155" s="17"/>
      <c r="H155" s="15"/>
      <c r="I155" s="15"/>
      <c r="J155" s="15"/>
      <c r="K155" s="15"/>
      <c r="L155" s="15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1.25" customHeight="1" x14ac:dyDescent="0.25">
      <c r="A156" s="320" t="s">
        <v>136</v>
      </c>
      <c r="B156" s="294" t="s">
        <v>255</v>
      </c>
      <c r="C156" s="321">
        <f>12/'0. Qtdades e Custos'!F166</f>
        <v>6</v>
      </c>
      <c r="D156" s="291">
        <f>VLOOKUP(A156,'0. Qtdades e Custos'!$B$198:$F$212,4,0)</f>
        <v>0</v>
      </c>
      <c r="E156" s="292">
        <f t="shared" si="2"/>
        <v>0</v>
      </c>
      <c r="F156" s="17"/>
      <c r="G156" s="17"/>
      <c r="H156" s="15"/>
      <c r="I156" s="15"/>
      <c r="J156" s="15"/>
      <c r="K156" s="15"/>
      <c r="L156" s="15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1.25" customHeight="1" x14ac:dyDescent="0.25">
      <c r="A157" s="320" t="s">
        <v>137</v>
      </c>
      <c r="B157" s="294" t="s">
        <v>255</v>
      </c>
      <c r="C157" s="321">
        <f>12/'0. Qtdades e Custos'!F167</f>
        <v>6</v>
      </c>
      <c r="D157" s="291">
        <f>VLOOKUP(A157,'0. Qtdades e Custos'!$B$198:$F$212,4,0)</f>
        <v>0</v>
      </c>
      <c r="E157" s="292">
        <f t="shared" si="2"/>
        <v>0</v>
      </c>
      <c r="F157" s="17"/>
      <c r="G157" s="17"/>
      <c r="H157" s="15"/>
      <c r="I157" s="15"/>
      <c r="J157" s="15"/>
      <c r="K157" s="15"/>
      <c r="L157" s="15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1.25" customHeight="1" x14ac:dyDescent="0.25">
      <c r="A158" s="289" t="s">
        <v>138</v>
      </c>
      <c r="B158" s="294" t="s">
        <v>255</v>
      </c>
      <c r="C158" s="321">
        <f>12/'0. Qtdades e Custos'!F168</f>
        <v>12</v>
      </c>
      <c r="D158" s="291">
        <f>VLOOKUP(A158,'0. Qtdades e Custos'!$B$198:$F$212,4,0)</f>
        <v>0</v>
      </c>
      <c r="E158" s="292">
        <f t="shared" si="2"/>
        <v>0</v>
      </c>
      <c r="F158" s="17"/>
      <c r="G158" s="17"/>
      <c r="H158" s="15"/>
      <c r="I158" s="15"/>
      <c r="J158" s="15"/>
      <c r="K158" s="15"/>
      <c r="L158" s="15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1.25" customHeight="1" x14ac:dyDescent="0.25">
      <c r="A159" s="289" t="s">
        <v>139</v>
      </c>
      <c r="B159" s="294" t="s">
        <v>255</v>
      </c>
      <c r="C159" s="321">
        <f>12/'0. Qtdades e Custos'!F169</f>
        <v>12</v>
      </c>
      <c r="D159" s="291">
        <f>VLOOKUP(A159,'0. Qtdades e Custos'!$B$198:$F$212,4,0)</f>
        <v>0</v>
      </c>
      <c r="E159" s="292">
        <f t="shared" si="2"/>
        <v>0</v>
      </c>
      <c r="F159" s="17"/>
      <c r="G159" s="17"/>
      <c r="H159" s="15"/>
      <c r="I159" s="15"/>
      <c r="J159" s="15"/>
      <c r="K159" s="15"/>
      <c r="L159" s="15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1.25" customHeight="1" x14ac:dyDescent="0.25">
      <c r="A160" s="293" t="s">
        <v>140</v>
      </c>
      <c r="B160" s="294" t="s">
        <v>255</v>
      </c>
      <c r="C160" s="321">
        <f>12/'0. Qtdades e Custos'!F170</f>
        <v>12</v>
      </c>
      <c r="D160" s="291">
        <f>VLOOKUP(A160,'0. Qtdades e Custos'!$B$198:$F$212,4,0)</f>
        <v>0</v>
      </c>
      <c r="E160" s="292">
        <f t="shared" si="2"/>
        <v>0</v>
      </c>
      <c r="F160" s="17"/>
      <c r="G160" s="17"/>
      <c r="H160" s="15"/>
      <c r="I160" s="15"/>
      <c r="J160" s="15"/>
      <c r="K160" s="15"/>
      <c r="L160" s="15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1.25" customHeight="1" x14ac:dyDescent="0.25">
      <c r="A161" s="293" t="s">
        <v>144</v>
      </c>
      <c r="B161" s="294" t="s">
        <v>255</v>
      </c>
      <c r="C161" s="321">
        <f>12/'0. Qtdades e Custos'!F171</f>
        <v>12</v>
      </c>
      <c r="D161" s="291">
        <f>VLOOKUP(A161,'0. Qtdades e Custos'!$B$198:$F$212,4,0)</f>
        <v>0</v>
      </c>
      <c r="E161" s="292">
        <f t="shared" si="2"/>
        <v>0</v>
      </c>
      <c r="F161" s="17"/>
      <c r="G161" s="17"/>
      <c r="H161" s="15"/>
      <c r="I161" s="15"/>
      <c r="J161" s="15"/>
      <c r="K161" s="15"/>
      <c r="L161" s="15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1.25" customHeight="1" x14ac:dyDescent="0.25">
      <c r="A162" s="293" t="s">
        <v>145</v>
      </c>
      <c r="B162" s="294" t="s">
        <v>171</v>
      </c>
      <c r="C162" s="321">
        <f>12/'0. Qtdades e Custos'!F172</f>
        <v>12</v>
      </c>
      <c r="D162" s="291">
        <f>VLOOKUP(A162,'0. Qtdades e Custos'!$B$198:$F$212,4,0)</f>
        <v>0</v>
      </c>
      <c r="E162" s="292">
        <f t="shared" si="2"/>
        <v>0</v>
      </c>
      <c r="F162" s="17"/>
      <c r="G162" s="17"/>
      <c r="H162" s="15"/>
      <c r="I162" s="15"/>
      <c r="J162" s="15"/>
      <c r="K162" s="15"/>
      <c r="L162" s="15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1.25" customHeight="1" x14ac:dyDescent="0.25">
      <c r="A163" s="293" t="s">
        <v>237</v>
      </c>
      <c r="B163" s="294" t="s">
        <v>238</v>
      </c>
      <c r="C163" s="323">
        <f>E47</f>
        <v>1</v>
      </c>
      <c r="D163" s="295">
        <f>+SUM(E154:E162)</f>
        <v>0</v>
      </c>
      <c r="E163" s="295">
        <f>C163*D163</f>
        <v>0</v>
      </c>
      <c r="F163" s="17"/>
      <c r="G163" s="17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1.25" customHeight="1" x14ac:dyDescent="0.25">
      <c r="A164" s="15"/>
      <c r="B164" s="15"/>
      <c r="C164" s="15"/>
      <c r="D164" s="205" t="s">
        <v>239</v>
      </c>
      <c r="E164" s="300">
        <f>$B$57</f>
        <v>1</v>
      </c>
      <c r="F164" s="301">
        <f>E163*E164</f>
        <v>0</v>
      </c>
      <c r="G164" s="17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1.25" customHeight="1" x14ac:dyDescent="0.25">
      <c r="A165" s="15"/>
      <c r="B165" s="15"/>
      <c r="C165" s="15"/>
      <c r="D165" s="17"/>
      <c r="E165" s="17"/>
      <c r="F165" s="17"/>
      <c r="G165" s="17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3.5" customHeight="1" x14ac:dyDescent="0.25">
      <c r="A166" s="15" t="s">
        <v>455</v>
      </c>
      <c r="B166" s="15"/>
      <c r="C166" s="15"/>
      <c r="D166" s="17"/>
      <c r="E166" s="17"/>
      <c r="F166" s="17"/>
      <c r="G166" s="17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1.25" customHeight="1" x14ac:dyDescent="0.25">
      <c r="A167" s="15"/>
      <c r="B167" s="15"/>
      <c r="C167" s="15"/>
      <c r="D167" s="17"/>
      <c r="E167" s="17"/>
      <c r="F167" s="17"/>
      <c r="G167" s="17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284" t="s">
        <v>227</v>
      </c>
      <c r="B168" s="285" t="s">
        <v>98</v>
      </c>
      <c r="C168" s="319" t="s">
        <v>260</v>
      </c>
      <c r="D168" s="286" t="s">
        <v>228</v>
      </c>
      <c r="E168" s="286" t="s">
        <v>229</v>
      </c>
      <c r="F168" s="287" t="s">
        <v>230</v>
      </c>
      <c r="G168" s="17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289" t="s">
        <v>134</v>
      </c>
      <c r="B169" s="290" t="s">
        <v>255</v>
      </c>
      <c r="C169" s="321">
        <f>12/'0. Qtdades e Custos'!H164</f>
        <v>12</v>
      </c>
      <c r="D169" s="291">
        <f>VLOOKUP(A169,'0. Qtdades e Custos'!$B$198:$F$212,4,0)</f>
        <v>0</v>
      </c>
      <c r="E169" s="292">
        <f>IFERROR(D169/C169,0)</f>
        <v>0</v>
      </c>
      <c r="F169" s="17"/>
      <c r="G169" s="17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289" t="s">
        <v>135</v>
      </c>
      <c r="B170" s="294" t="s">
        <v>255</v>
      </c>
      <c r="C170" s="321">
        <f>12/'0. Qtdades e Custos'!H165</f>
        <v>6</v>
      </c>
      <c r="D170" s="291">
        <f>VLOOKUP(A170,'0. Qtdades e Custos'!$B$198:$F$212,4,0)</f>
        <v>0</v>
      </c>
      <c r="E170" s="292">
        <f>IFERROR(D170/C170,0)</f>
        <v>0</v>
      </c>
      <c r="F170" s="17"/>
      <c r="G170" s="17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320" t="s">
        <v>136</v>
      </c>
      <c r="B171" s="294" t="s">
        <v>255</v>
      </c>
      <c r="C171" s="321">
        <f>12/'0. Qtdades e Custos'!H166</f>
        <v>6</v>
      </c>
      <c r="D171" s="291">
        <f>VLOOKUP(A171,'0. Qtdades e Custos'!$B$198:$F$212,4,0)</f>
        <v>0</v>
      </c>
      <c r="E171" s="292">
        <f>IFERROR(D171/C171,0)</f>
        <v>0</v>
      </c>
      <c r="F171" s="17"/>
      <c r="G171" s="17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320" t="s">
        <v>137</v>
      </c>
      <c r="B172" s="294" t="s">
        <v>255</v>
      </c>
      <c r="C172" s="321">
        <f>12/'0. Qtdades e Custos'!H167</f>
        <v>6</v>
      </c>
      <c r="D172" s="291">
        <f>VLOOKUP(A172,'0. Qtdades e Custos'!$B$198:$F$212,4,0)</f>
        <v>0</v>
      </c>
      <c r="E172" s="292"/>
      <c r="F172" s="17"/>
      <c r="G172" s="17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289" t="s">
        <v>138</v>
      </c>
      <c r="B173" s="294" t="s">
        <v>255</v>
      </c>
      <c r="C173" s="321">
        <f>12/'0. Qtdades e Custos'!H168</f>
        <v>12</v>
      </c>
      <c r="D173" s="291">
        <f>VLOOKUP(A173,'0. Qtdades e Custos'!$B$198:$F$212,4,0)</f>
        <v>0</v>
      </c>
      <c r="E173" s="292"/>
      <c r="F173" s="17"/>
      <c r="G173" s="17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289" t="s">
        <v>139</v>
      </c>
      <c r="B174" s="294" t="s">
        <v>255</v>
      </c>
      <c r="C174" s="321">
        <f>12/'0. Qtdades e Custos'!H169</f>
        <v>12</v>
      </c>
      <c r="D174" s="291">
        <f>VLOOKUP(A174,'0. Qtdades e Custos'!$B$198:$F$212,4,0)</f>
        <v>0</v>
      </c>
      <c r="E174" s="292"/>
      <c r="F174" s="17"/>
      <c r="G174" s="17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293" t="s">
        <v>140</v>
      </c>
      <c r="B175" s="294" t="s">
        <v>255</v>
      </c>
      <c r="C175" s="321">
        <f>12/'0. Qtdades e Custos'!H170</f>
        <v>12</v>
      </c>
      <c r="D175" s="291">
        <f>VLOOKUP(A175,'0. Qtdades e Custos'!$B$198:$F$212,4,0)</f>
        <v>0</v>
      </c>
      <c r="E175" s="292">
        <f>IFERROR(D175/C175,0)</f>
        <v>0</v>
      </c>
      <c r="F175" s="17"/>
      <c r="G175" s="17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293" t="s">
        <v>144</v>
      </c>
      <c r="B176" s="294" t="s">
        <v>255</v>
      </c>
      <c r="C176" s="321">
        <f>12/'0. Qtdades e Custos'!H171</f>
        <v>12</v>
      </c>
      <c r="D176" s="291">
        <f>VLOOKUP(A176,'0. Qtdades e Custos'!$B$198:$F$212,4,0)</f>
        <v>0</v>
      </c>
      <c r="E176" s="292">
        <f>IFERROR(D176/C176,0)</f>
        <v>0</v>
      </c>
      <c r="F176" s="17"/>
      <c r="G176" s="17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293" t="s">
        <v>145</v>
      </c>
      <c r="B177" s="294" t="s">
        <v>171</v>
      </c>
      <c r="C177" s="321">
        <f>12/'0. Qtdades e Custos'!H172</f>
        <v>12</v>
      </c>
      <c r="D177" s="291">
        <f>VLOOKUP(A177,'0. Qtdades e Custos'!$B$198:$F$212,4,0)</f>
        <v>0</v>
      </c>
      <c r="E177" s="292">
        <f>IFERROR(D177/C177,0)</f>
        <v>0</v>
      </c>
      <c r="F177" s="17"/>
      <c r="G177" s="17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293" t="s">
        <v>237</v>
      </c>
      <c r="B178" s="294" t="s">
        <v>238</v>
      </c>
      <c r="C178" s="323">
        <f>E48</f>
        <v>1</v>
      </c>
      <c r="D178" s="295">
        <f>+SUM(E169:E177)</f>
        <v>0</v>
      </c>
      <c r="E178" s="295">
        <f>C178*D178</f>
        <v>0</v>
      </c>
      <c r="F178" s="17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205" t="s">
        <v>239</v>
      </c>
      <c r="E179" s="300">
        <f>$B$57</f>
        <v>1</v>
      </c>
      <c r="F179" s="301">
        <f>E178*E179</f>
        <v>0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1.25" customHeight="1" x14ac:dyDescent="0.25">
      <c r="A180" s="15"/>
      <c r="B180" s="15"/>
      <c r="C180" s="15"/>
      <c r="D180" s="17"/>
      <c r="E180" s="17"/>
      <c r="F180" s="17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1.25" customHeight="1" x14ac:dyDescent="0.25">
      <c r="A181" s="15" t="s">
        <v>456</v>
      </c>
      <c r="B181" s="15"/>
      <c r="C181" s="15"/>
      <c r="D181" s="17"/>
      <c r="E181" s="17"/>
      <c r="F181" s="1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1.25" customHeight="1" x14ac:dyDescent="0.25">
      <c r="A182" s="15"/>
      <c r="B182" s="15"/>
      <c r="C182" s="15"/>
      <c r="D182" s="17"/>
      <c r="E182" s="17"/>
      <c r="F182" s="17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1.25" customHeight="1" x14ac:dyDescent="0.25">
      <c r="A183" s="284" t="s">
        <v>227</v>
      </c>
      <c r="B183" s="285" t="s">
        <v>98</v>
      </c>
      <c r="C183" s="319" t="s">
        <v>260</v>
      </c>
      <c r="D183" s="286" t="s">
        <v>228</v>
      </c>
      <c r="E183" s="286" t="s">
        <v>229</v>
      </c>
      <c r="F183" s="287" t="s">
        <v>230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1.25" customHeight="1" x14ac:dyDescent="0.25">
      <c r="A184" s="289" t="s">
        <v>138</v>
      </c>
      <c r="B184" s="294" t="s">
        <v>255</v>
      </c>
      <c r="C184" s="321">
        <f>12/'0. Qtdades e Custos'!J168</f>
        <v>12</v>
      </c>
      <c r="D184" s="291">
        <f>VLOOKUP(A184,'0. Qtdades e Custos'!$B$198:$F$212,4,0)</f>
        <v>0</v>
      </c>
      <c r="E184" s="292">
        <f>IFERROR(D184/C184,0)</f>
        <v>0</v>
      </c>
      <c r="F184" s="17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1.25" customHeight="1" x14ac:dyDescent="0.25">
      <c r="A185" s="289" t="s">
        <v>139</v>
      </c>
      <c r="B185" s="294" t="s">
        <v>255</v>
      </c>
      <c r="C185" s="321">
        <f>12/'0. Qtdades e Custos'!J169</f>
        <v>12</v>
      </c>
      <c r="D185" s="291">
        <f>VLOOKUP(A185,'0. Qtdades e Custos'!$B$198:$F$212,4,0)</f>
        <v>0</v>
      </c>
      <c r="E185" s="292">
        <f>IFERROR(D185/C185,0)</f>
        <v>0</v>
      </c>
      <c r="F185" s="17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1.25" customHeight="1" x14ac:dyDescent="0.25">
      <c r="A186" s="293" t="s">
        <v>140</v>
      </c>
      <c r="B186" s="294" t="s">
        <v>255</v>
      </c>
      <c r="C186" s="321">
        <f>12/'0. Qtdades e Custos'!J170</f>
        <v>12</v>
      </c>
      <c r="D186" s="291">
        <f>VLOOKUP(A186,'0. Qtdades e Custos'!$B$198:$F$212,4,0)</f>
        <v>0</v>
      </c>
      <c r="E186" s="292">
        <f>IFERROR(D186/C186,0)</f>
        <v>0</v>
      </c>
      <c r="F186" s="17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1.25" customHeight="1" x14ac:dyDescent="0.25">
      <c r="A187" s="293" t="s">
        <v>144</v>
      </c>
      <c r="B187" s="294" t="s">
        <v>457</v>
      </c>
      <c r="C187" s="321">
        <f>12/'0. Qtdades e Custos'!J171</f>
        <v>12</v>
      </c>
      <c r="D187" s="291">
        <f>VLOOKUP(A187,'0. Qtdades e Custos'!$B$198:$F$212,4,0)</f>
        <v>0</v>
      </c>
      <c r="E187" s="292">
        <f>IFERROR(D187/C187,0)</f>
        <v>0</v>
      </c>
      <c r="F187" s="17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1.25" customHeight="1" x14ac:dyDescent="0.25">
      <c r="A188" s="293" t="s">
        <v>145</v>
      </c>
      <c r="B188" s="294" t="s">
        <v>171</v>
      </c>
      <c r="C188" s="321">
        <f>12/'0. Qtdades e Custos'!J172</f>
        <v>12</v>
      </c>
      <c r="D188" s="291">
        <f>VLOOKUP(A188,'0. Qtdades e Custos'!$B$198:$F$212,4,0)</f>
        <v>0</v>
      </c>
      <c r="E188" s="292">
        <f>IFERROR(D188/C188,0)</f>
        <v>0</v>
      </c>
      <c r="F188" s="17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1.25" customHeight="1" x14ac:dyDescent="0.25">
      <c r="A189" s="293" t="s">
        <v>237</v>
      </c>
      <c r="B189" s="294" t="s">
        <v>238</v>
      </c>
      <c r="C189" s="323">
        <f>E49</f>
        <v>1</v>
      </c>
      <c r="D189" s="295">
        <f>+SUM(E184:E188)</f>
        <v>0</v>
      </c>
      <c r="E189" s="295">
        <f>C189*D189</f>
        <v>0</v>
      </c>
      <c r="F189" s="17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1.25" customHeight="1" x14ac:dyDescent="0.25">
      <c r="A190" s="15"/>
      <c r="B190" s="15"/>
      <c r="C190" s="15"/>
      <c r="D190" s="205" t="s">
        <v>239</v>
      </c>
      <c r="E190" s="300">
        <f>$B$58</f>
        <v>0.45454545454545453</v>
      </c>
      <c r="F190" s="301">
        <f>E189*E190</f>
        <v>0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1.25" customHeight="1" x14ac:dyDescent="0.25">
      <c r="A191" s="15"/>
      <c r="B191" s="15"/>
      <c r="C191" s="15"/>
      <c r="D191" s="17"/>
      <c r="E191" s="17"/>
      <c r="F191" s="17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316" t="s">
        <v>265</v>
      </c>
      <c r="B192" s="324"/>
      <c r="C192" s="324"/>
      <c r="D192" s="325"/>
      <c r="E192" s="326"/>
      <c r="F192" s="327">
        <f>+F149+F164+F179+F190</f>
        <v>0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1.25" customHeight="1" x14ac:dyDescent="0.25">
      <c r="A193" s="15"/>
      <c r="B193" s="15"/>
      <c r="C193" s="15"/>
      <c r="D193" s="17"/>
      <c r="E193" s="17"/>
      <c r="F193" s="1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44" t="s">
        <v>266</v>
      </c>
      <c r="B194" s="15"/>
      <c r="C194" s="15"/>
      <c r="D194" s="17"/>
      <c r="E194" s="17"/>
      <c r="F194" s="1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1.25" customHeight="1" x14ac:dyDescent="0.25">
      <c r="A195" s="15"/>
      <c r="B195" s="211"/>
      <c r="C195" s="15"/>
      <c r="D195" s="17"/>
      <c r="E195" s="17"/>
      <c r="F195" s="1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601" t="s">
        <v>458</v>
      </c>
      <c r="B196" s="601"/>
      <c r="C196" s="601"/>
      <c r="D196" s="601"/>
      <c r="E196" s="601"/>
      <c r="F196" s="60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1.25" customHeight="1" x14ac:dyDescent="0.25">
      <c r="A197" s="15"/>
      <c r="B197" s="15"/>
      <c r="C197" s="15"/>
      <c r="D197" s="17"/>
      <c r="E197" s="17"/>
      <c r="F197" s="17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211" t="s">
        <v>268</v>
      </c>
      <c r="B198" s="15"/>
      <c r="C198" s="15"/>
      <c r="D198" s="17"/>
      <c r="E198" s="17"/>
      <c r="F198" s="1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284" t="s">
        <v>227</v>
      </c>
      <c r="B199" s="285" t="s">
        <v>98</v>
      </c>
      <c r="C199" s="285" t="s">
        <v>55</v>
      </c>
      <c r="D199" s="286" t="s">
        <v>228</v>
      </c>
      <c r="E199" s="286" t="s">
        <v>229</v>
      </c>
      <c r="F199" s="287" t="s">
        <v>230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289" t="s">
        <v>269</v>
      </c>
      <c r="B200" s="290" t="s">
        <v>255</v>
      </c>
      <c r="C200" s="290">
        <v>1</v>
      </c>
      <c r="D200" s="291">
        <f>'0. Qtdades e Custos'!N71</f>
        <v>0</v>
      </c>
      <c r="E200" s="292">
        <f>C200*D200</f>
        <v>0</v>
      </c>
      <c r="F200" s="1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293" t="s">
        <v>270</v>
      </c>
      <c r="B201" s="294" t="s">
        <v>271</v>
      </c>
      <c r="C201" s="321">
        <f>'0. Qtdades e Custos'!Q71</f>
        <v>5</v>
      </c>
      <c r="D201" s="295"/>
      <c r="E201" s="295"/>
      <c r="F201" s="1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293" t="s">
        <v>272</v>
      </c>
      <c r="B202" s="294" t="s">
        <v>271</v>
      </c>
      <c r="C202" s="299">
        <v>0</v>
      </c>
      <c r="D202" s="295"/>
      <c r="E202" s="295"/>
      <c r="F202" s="142"/>
      <c r="G202" s="17"/>
      <c r="H202" s="15"/>
      <c r="I202" s="213"/>
      <c r="J202" s="213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293" t="s">
        <v>273</v>
      </c>
      <c r="B203" s="294" t="s">
        <v>207</v>
      </c>
      <c r="C203" s="298">
        <f>IFERROR(VLOOKUP(C201,'9. Depreciação'!A3:B17,2,0),0)</f>
        <v>55.68</v>
      </c>
      <c r="D203" s="295">
        <f>E200</f>
        <v>0</v>
      </c>
      <c r="E203" s="295">
        <f>C203*D203/100</f>
        <v>0</v>
      </c>
      <c r="F203" s="17"/>
      <c r="G203" s="17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328" t="s">
        <v>459</v>
      </c>
      <c r="B204" s="329" t="s">
        <v>232</v>
      </c>
      <c r="C204" s="329">
        <f>C201*12</f>
        <v>60</v>
      </c>
      <c r="D204" s="330">
        <f>IF(C202&lt;=C201,E203,0)</f>
        <v>0</v>
      </c>
      <c r="E204" s="330">
        <f>IFERROR(D204/C204,0)</f>
        <v>0</v>
      </c>
      <c r="F204" s="17"/>
      <c r="G204" s="17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296" t="s">
        <v>275</v>
      </c>
      <c r="B205" s="143"/>
      <c r="C205" s="143"/>
      <c r="D205" s="42"/>
      <c r="E205" s="297">
        <f>E204</f>
        <v>0</v>
      </c>
      <c r="F205" s="17"/>
      <c r="G205" s="17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81" t="s">
        <v>276</v>
      </c>
      <c r="B206" s="331" t="s">
        <v>255</v>
      </c>
      <c r="C206" s="321">
        <f>'0. Qtdades e Custos'!P71</f>
        <v>1</v>
      </c>
      <c r="D206" s="303">
        <f>E205</f>
        <v>0</v>
      </c>
      <c r="E206" s="297">
        <f>C206*D206</f>
        <v>0</v>
      </c>
      <c r="F206" s="17"/>
      <c r="G206" s="17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214"/>
      <c r="B207" s="214"/>
      <c r="C207" s="214"/>
      <c r="D207" s="205" t="s">
        <v>239</v>
      </c>
      <c r="E207" s="300">
        <f>$B$57</f>
        <v>1</v>
      </c>
      <c r="F207" s="327">
        <f>E206*E207</f>
        <v>0</v>
      </c>
      <c r="G207" s="17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1.25" customHeight="1" x14ac:dyDescent="0.25">
      <c r="A208" s="15"/>
      <c r="B208" s="15"/>
      <c r="C208" s="15"/>
      <c r="D208" s="17"/>
      <c r="E208" s="17"/>
      <c r="F208" s="17"/>
      <c r="G208" s="17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211" t="s">
        <v>277</v>
      </c>
      <c r="B209" s="15"/>
      <c r="C209" s="15"/>
      <c r="D209" s="17"/>
      <c r="E209" s="17"/>
      <c r="F209" s="17"/>
      <c r="G209" s="17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284" t="s">
        <v>227</v>
      </c>
      <c r="B210" s="285" t="s">
        <v>98</v>
      </c>
      <c r="C210" s="285" t="s">
        <v>55</v>
      </c>
      <c r="D210" s="286" t="s">
        <v>228</v>
      </c>
      <c r="E210" s="286" t="s">
        <v>229</v>
      </c>
      <c r="F210" s="287" t="s">
        <v>230</v>
      </c>
      <c r="G210" s="17"/>
      <c r="H210" s="15"/>
      <c r="I210" s="213"/>
      <c r="J210" s="213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289" t="s">
        <v>278</v>
      </c>
      <c r="B211" s="290" t="s">
        <v>255</v>
      </c>
      <c r="C211" s="290">
        <v>1</v>
      </c>
      <c r="D211" s="292">
        <f>D200</f>
        <v>0</v>
      </c>
      <c r="E211" s="292">
        <f>C211*D211</f>
        <v>0</v>
      </c>
      <c r="F211" s="142"/>
      <c r="G211" s="17"/>
      <c r="H211" s="15"/>
      <c r="I211" s="213"/>
      <c r="J211" s="213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293" t="s">
        <v>279</v>
      </c>
      <c r="B212" s="294" t="s">
        <v>207</v>
      </c>
      <c r="C212" s="299">
        <v>14.25</v>
      </c>
      <c r="D212" s="295"/>
      <c r="E212" s="295"/>
      <c r="F212" s="142"/>
      <c r="G212" s="17"/>
      <c r="H212" s="15"/>
      <c r="I212" s="213"/>
      <c r="J212" s="213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293" t="s">
        <v>280</v>
      </c>
      <c r="B213" s="294" t="s">
        <v>250</v>
      </c>
      <c r="C213" s="295">
        <f>IFERROR(IF(C202&lt;=C201,E200-(C203/(100*C201)*C202)*E200,E200-E203),0)</f>
        <v>0</v>
      </c>
      <c r="D213" s="295"/>
      <c r="E213" s="295"/>
      <c r="F213" s="142"/>
      <c r="G213" s="17"/>
      <c r="H213" s="15"/>
      <c r="I213" s="213"/>
      <c r="J213" s="213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293" t="s">
        <v>281</v>
      </c>
      <c r="B214" s="294" t="s">
        <v>250</v>
      </c>
      <c r="C214" s="295">
        <f>IFERROR(IF(C202&gt;=C201,C213,((((C213)-(E200-E203))*(((C201-C202)+1)/(2*(C201-C202))))+(E200-E203))),0)</f>
        <v>0</v>
      </c>
      <c r="D214" s="295"/>
      <c r="E214" s="295"/>
      <c r="F214" s="142"/>
      <c r="G214" s="17"/>
      <c r="H214" s="15"/>
      <c r="I214" s="213"/>
      <c r="J214" s="213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328" t="s">
        <v>282</v>
      </c>
      <c r="B215" s="329" t="s">
        <v>250</v>
      </c>
      <c r="C215" s="329"/>
      <c r="D215" s="330">
        <f>C212*C214/12/100</f>
        <v>0</v>
      </c>
      <c r="E215" s="330">
        <f>D215</f>
        <v>0</v>
      </c>
      <c r="F215" s="142"/>
      <c r="G215" s="17"/>
      <c r="H215" s="15"/>
      <c r="I215" s="213"/>
      <c r="J215" s="213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296" t="s">
        <v>275</v>
      </c>
      <c r="B216" s="143"/>
      <c r="C216" s="143"/>
      <c r="D216" s="42"/>
      <c r="E216" s="297">
        <f>E215</f>
        <v>0</v>
      </c>
      <c r="F216" s="142"/>
      <c r="G216" s="17"/>
      <c r="H216" s="15"/>
      <c r="I216" s="213"/>
      <c r="J216" s="213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81" t="s">
        <v>276</v>
      </c>
      <c r="B217" s="331" t="s">
        <v>255</v>
      </c>
      <c r="C217" s="332">
        <f>C206</f>
        <v>1</v>
      </c>
      <c r="D217" s="303">
        <f>E216</f>
        <v>0</v>
      </c>
      <c r="E217" s="297">
        <f>C217*D217</f>
        <v>0</v>
      </c>
      <c r="F217" s="142"/>
      <c r="G217" s="17"/>
      <c r="H217" s="15"/>
      <c r="I217" s="213"/>
      <c r="J217" s="213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41"/>
      <c r="D218" s="205" t="s">
        <v>239</v>
      </c>
      <c r="E218" s="300">
        <f>$B$57</f>
        <v>1</v>
      </c>
      <c r="F218" s="327">
        <f>E217*E218</f>
        <v>0</v>
      </c>
      <c r="G218" s="17"/>
      <c r="H218" s="15"/>
      <c r="I218" s="213"/>
      <c r="J218" s="213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1.25" customHeight="1" x14ac:dyDescent="0.25">
      <c r="A219" s="15"/>
      <c r="B219" s="15"/>
      <c r="C219" s="15"/>
      <c r="D219" s="17"/>
      <c r="E219" s="17"/>
      <c r="F219" s="17"/>
      <c r="G219" s="17"/>
      <c r="H219" s="15"/>
      <c r="I219" s="213"/>
      <c r="J219" s="213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 t="s">
        <v>283</v>
      </c>
      <c r="B220" s="15"/>
      <c r="C220" s="15"/>
      <c r="D220" s="17"/>
      <c r="E220" s="17"/>
      <c r="F220" s="17"/>
      <c r="G220" s="17"/>
      <c r="H220" s="15"/>
      <c r="I220" s="213"/>
      <c r="J220" s="213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284" t="s">
        <v>227</v>
      </c>
      <c r="B221" s="285" t="s">
        <v>98</v>
      </c>
      <c r="C221" s="285" t="s">
        <v>55</v>
      </c>
      <c r="D221" s="286" t="s">
        <v>228</v>
      </c>
      <c r="E221" s="286" t="s">
        <v>229</v>
      </c>
      <c r="F221" s="287" t="s">
        <v>230</v>
      </c>
      <c r="G221" s="17"/>
      <c r="H221" s="15"/>
      <c r="I221" s="213"/>
      <c r="J221" s="213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289" t="s">
        <v>284</v>
      </c>
      <c r="B222" s="290" t="s">
        <v>255</v>
      </c>
      <c r="C222" s="292">
        <f>C206</f>
        <v>1</v>
      </c>
      <c r="D222" s="292">
        <f>0.01*($E$200)</f>
        <v>0</v>
      </c>
      <c r="E222" s="292">
        <f>C222*D222</f>
        <v>0</v>
      </c>
      <c r="F222" s="17"/>
      <c r="G222" s="17"/>
      <c r="H222" s="15"/>
      <c r="I222" s="213"/>
      <c r="J222" s="213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293" t="s">
        <v>285</v>
      </c>
      <c r="B223" s="294" t="s">
        <v>255</v>
      </c>
      <c r="C223" s="292">
        <f>C206</f>
        <v>1</v>
      </c>
      <c r="D223" s="313"/>
      <c r="E223" s="295">
        <f>C223*D223</f>
        <v>0</v>
      </c>
      <c r="F223" s="17"/>
      <c r="G223" s="17"/>
      <c r="H223" s="15"/>
      <c r="I223" s="213"/>
      <c r="J223" s="213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293" t="s">
        <v>286</v>
      </c>
      <c r="B224" s="294" t="s">
        <v>255</v>
      </c>
      <c r="C224" s="292">
        <f>C206</f>
        <v>1</v>
      </c>
      <c r="D224" s="313"/>
      <c r="E224" s="295">
        <f>C224*D224</f>
        <v>0</v>
      </c>
      <c r="F224" s="42"/>
      <c r="G224" s="17"/>
      <c r="H224" s="15"/>
      <c r="I224" s="213"/>
      <c r="J224" s="213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81" t="s">
        <v>287</v>
      </c>
      <c r="B225" s="331" t="s">
        <v>232</v>
      </c>
      <c r="C225" s="331">
        <v>12</v>
      </c>
      <c r="D225" s="303">
        <f>SUM(E222:E224)</f>
        <v>0</v>
      </c>
      <c r="E225" s="303">
        <f>D225/C225</f>
        <v>0</v>
      </c>
      <c r="F225" s="17"/>
      <c r="G225" s="17"/>
      <c r="H225" s="15"/>
      <c r="I225" s="213"/>
      <c r="J225" s="213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205" t="s">
        <v>239</v>
      </c>
      <c r="E226" s="300">
        <f>$B$57</f>
        <v>1</v>
      </c>
      <c r="F226" s="301">
        <f>E225*E226</f>
        <v>0</v>
      </c>
      <c r="G226" s="17"/>
      <c r="H226" s="15"/>
      <c r="I226" s="213"/>
      <c r="J226" s="213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1.25" customHeight="1" x14ac:dyDescent="0.25">
      <c r="A227" s="15"/>
      <c r="B227" s="15"/>
      <c r="C227" s="15"/>
      <c r="D227" s="17"/>
      <c r="E227" s="17"/>
      <c r="F227" s="17"/>
      <c r="G227" s="17"/>
      <c r="H227" s="15"/>
      <c r="I227" s="213"/>
      <c r="J227" s="213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 t="s">
        <v>288</v>
      </c>
      <c r="B228" s="215"/>
      <c r="C228" s="15"/>
      <c r="D228" s="17"/>
      <c r="E228" s="17"/>
      <c r="F228" s="17"/>
      <c r="G228" s="17"/>
      <c r="H228" s="15"/>
      <c r="I228" s="213"/>
      <c r="J228" s="213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215"/>
      <c r="C229" s="15"/>
      <c r="D229" s="17"/>
      <c r="E229" s="17"/>
      <c r="F229" s="17"/>
      <c r="G229" s="17"/>
      <c r="H229" s="15"/>
      <c r="I229" s="213"/>
      <c r="J229" s="213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427" t="s">
        <v>289</v>
      </c>
      <c r="B230" s="333">
        <v>800</v>
      </c>
      <c r="C230" s="15"/>
      <c r="D230" s="17"/>
      <c r="E230" s="17"/>
      <c r="F230" s="17"/>
      <c r="G230" s="17"/>
      <c r="H230" s="15"/>
      <c r="I230" s="213"/>
      <c r="J230" s="213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334" t="s">
        <v>290</v>
      </c>
      <c r="B231" s="335">
        <f>'0. Qtdades e Custos'!Y71</f>
        <v>0</v>
      </c>
      <c r="C231" s="15"/>
      <c r="D231" s="17"/>
      <c r="E231" s="17"/>
      <c r="F231" s="17"/>
      <c r="G231" s="17"/>
      <c r="H231" s="15"/>
      <c r="I231" s="213"/>
      <c r="J231" s="213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215"/>
      <c r="C232" s="15"/>
      <c r="D232" s="17"/>
      <c r="E232" s="17"/>
      <c r="F232" s="17"/>
      <c r="G232" s="17"/>
      <c r="H232" s="15"/>
      <c r="I232" s="213"/>
      <c r="J232" s="213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284" t="s">
        <v>227</v>
      </c>
      <c r="B233" s="285" t="s">
        <v>98</v>
      </c>
      <c r="C233" s="285" t="s">
        <v>291</v>
      </c>
      <c r="D233" s="286" t="s">
        <v>228</v>
      </c>
      <c r="E233" s="286" t="s">
        <v>229</v>
      </c>
      <c r="F233" s="287" t="s">
        <v>230</v>
      </c>
      <c r="G233" s="17"/>
      <c r="H233" s="15"/>
      <c r="I233" s="213"/>
      <c r="J233" s="213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293" t="s">
        <v>382</v>
      </c>
      <c r="B234" s="290" t="s">
        <v>293</v>
      </c>
      <c r="C234" s="336">
        <f>B231</f>
        <v>0</v>
      </c>
      <c r="D234" s="337">
        <v>6.2</v>
      </c>
      <c r="E234" s="292"/>
      <c r="F234" s="17"/>
      <c r="G234" s="17"/>
      <c r="H234" s="15"/>
      <c r="I234" s="213"/>
      <c r="J234" s="213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334" t="s">
        <v>294</v>
      </c>
      <c r="B235" s="290" t="s">
        <v>295</v>
      </c>
      <c r="C235" s="307">
        <f>C234</f>
        <v>0</v>
      </c>
      <c r="D235" s="338"/>
      <c r="E235" s="295">
        <f>C235*D234</f>
        <v>0</v>
      </c>
      <c r="F235" s="17"/>
      <c r="G235" s="17"/>
      <c r="H235" s="15"/>
      <c r="I235" s="213"/>
      <c r="J235" s="213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7"/>
      <c r="E236" s="17"/>
      <c r="F236" s="327">
        <f>SUM(E234:E235)</f>
        <v>0</v>
      </c>
      <c r="G236" s="17"/>
      <c r="H236" s="15"/>
      <c r="I236" s="213"/>
      <c r="J236" s="213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1.25" customHeight="1" x14ac:dyDescent="0.25">
      <c r="A237" s="15"/>
      <c r="B237" s="15"/>
      <c r="C237" s="15"/>
      <c r="D237" s="17"/>
      <c r="E237" s="17"/>
      <c r="F237" s="17"/>
      <c r="G237" s="17"/>
      <c r="H237" s="15"/>
      <c r="I237" s="213"/>
      <c r="J237" s="213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 t="s">
        <v>296</v>
      </c>
      <c r="B238" s="15"/>
      <c r="C238" s="15"/>
      <c r="D238" s="17"/>
      <c r="E238" s="17"/>
      <c r="F238" s="17"/>
      <c r="G238" s="17"/>
      <c r="H238" s="15"/>
      <c r="I238" s="213"/>
      <c r="J238" s="213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284" t="s">
        <v>227</v>
      </c>
      <c r="B239" s="285" t="s">
        <v>98</v>
      </c>
      <c r="C239" s="285" t="s">
        <v>55</v>
      </c>
      <c r="D239" s="286" t="s">
        <v>228</v>
      </c>
      <c r="E239" s="286" t="s">
        <v>229</v>
      </c>
      <c r="F239" s="287" t="s">
        <v>230</v>
      </c>
      <c r="G239" s="17"/>
      <c r="H239" s="15"/>
      <c r="I239" s="213"/>
      <c r="J239" s="213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289" t="s">
        <v>460</v>
      </c>
      <c r="B240" s="290" t="s">
        <v>334</v>
      </c>
      <c r="C240" s="332">
        <f>'0. Qtdades e Custos'!S71/('0. Qtdades e Custos'!Q71*12)</f>
        <v>0.01</v>
      </c>
      <c r="D240" s="291">
        <f>D211</f>
        <v>0</v>
      </c>
      <c r="E240" s="292">
        <f>C240*D240</f>
        <v>0</v>
      </c>
      <c r="F240" s="17"/>
      <c r="G240" s="17"/>
      <c r="H240" s="15"/>
      <c r="I240" s="213"/>
      <c r="J240" s="213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7"/>
      <c r="E241" s="17"/>
      <c r="F241" s="327">
        <f>E240</f>
        <v>0</v>
      </c>
      <c r="G241" s="17"/>
      <c r="H241" s="15"/>
      <c r="I241" s="213"/>
      <c r="J241" s="213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1.25" customHeight="1" x14ac:dyDescent="0.25">
      <c r="A242" s="15"/>
      <c r="B242" s="15"/>
      <c r="C242" s="15"/>
      <c r="D242" s="17"/>
      <c r="E242" s="17"/>
      <c r="F242" s="17"/>
      <c r="G242" s="17"/>
      <c r="H242" s="15"/>
      <c r="I242" s="213"/>
      <c r="J242" s="213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 t="s">
        <v>300</v>
      </c>
      <c r="B243" s="15"/>
      <c r="C243" s="15"/>
      <c r="D243" s="17"/>
      <c r="E243" s="17"/>
      <c r="F243" s="17"/>
      <c r="G243" s="17"/>
      <c r="H243" s="15"/>
      <c r="I243" s="213"/>
      <c r="J243" s="213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284" t="s">
        <v>227</v>
      </c>
      <c r="B244" s="285" t="s">
        <v>98</v>
      </c>
      <c r="C244" s="285" t="s">
        <v>55</v>
      </c>
      <c r="D244" s="286" t="s">
        <v>228</v>
      </c>
      <c r="E244" s="286" t="s">
        <v>229</v>
      </c>
      <c r="F244" s="287" t="s">
        <v>230</v>
      </c>
      <c r="G244" s="17"/>
      <c r="H244" s="15"/>
      <c r="I244" s="213"/>
      <c r="J244" s="213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428" t="s">
        <v>435</v>
      </c>
      <c r="B245" s="290" t="s">
        <v>255</v>
      </c>
      <c r="C245" s="341">
        <v>4</v>
      </c>
      <c r="D245" s="291"/>
      <c r="E245" s="292">
        <f>C245*D245</f>
        <v>0</v>
      </c>
      <c r="F245" s="17"/>
      <c r="G245" s="17"/>
      <c r="H245" s="15"/>
      <c r="I245" s="213"/>
      <c r="J245" s="213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289" t="s">
        <v>302</v>
      </c>
      <c r="B246" s="290" t="s">
        <v>255</v>
      </c>
      <c r="C246" s="341">
        <v>0</v>
      </c>
      <c r="D246" s="292"/>
      <c r="E246" s="292"/>
      <c r="F246" s="17"/>
      <c r="G246" s="17"/>
      <c r="H246" s="15"/>
      <c r="I246" s="213"/>
      <c r="J246" s="213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289" t="s">
        <v>461</v>
      </c>
      <c r="B247" s="290" t="s">
        <v>255</v>
      </c>
      <c r="C247" s="292">
        <v>0</v>
      </c>
      <c r="D247" s="336"/>
      <c r="E247" s="292">
        <f>C247*D247</f>
        <v>0</v>
      </c>
      <c r="F247" s="17"/>
      <c r="G247" s="17"/>
      <c r="H247" s="15"/>
      <c r="I247" s="213"/>
      <c r="J247" s="213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429" t="s">
        <v>304</v>
      </c>
      <c r="B248" s="430" t="s">
        <v>305</v>
      </c>
      <c r="C248" s="342">
        <v>40000</v>
      </c>
      <c r="D248" s="295">
        <f>E245+E247</f>
        <v>0</v>
      </c>
      <c r="E248" s="295">
        <f>IFERROR(D248/C248,"-")</f>
        <v>0</v>
      </c>
      <c r="F248" s="17"/>
      <c r="G248" s="17"/>
      <c r="H248" s="15"/>
      <c r="I248" s="213"/>
      <c r="J248" s="213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293" t="s">
        <v>306</v>
      </c>
      <c r="B249" s="294" t="s">
        <v>307</v>
      </c>
      <c r="C249" s="307">
        <f>B230</f>
        <v>800</v>
      </c>
      <c r="D249" s="295">
        <f>E248</f>
        <v>0</v>
      </c>
      <c r="E249" s="295">
        <f>IFERROR(C249*D249,0)</f>
        <v>0</v>
      </c>
      <c r="F249" s="17"/>
      <c r="G249" s="17"/>
      <c r="H249" s="15"/>
      <c r="I249" s="213"/>
      <c r="J249" s="213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7"/>
      <c r="E250" s="17"/>
      <c r="F250" s="327">
        <f>E249</f>
        <v>0</v>
      </c>
      <c r="G250" s="17"/>
      <c r="H250" s="15"/>
      <c r="I250" s="213"/>
      <c r="J250" s="213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1.25" customHeight="1" x14ac:dyDescent="0.25">
      <c r="A251" s="15"/>
      <c r="B251" s="15"/>
      <c r="C251" s="15"/>
      <c r="D251" s="17"/>
      <c r="E251" s="17"/>
      <c r="F251" s="17"/>
      <c r="G251" s="17"/>
      <c r="H251" s="15"/>
      <c r="I251" s="213"/>
      <c r="J251" s="213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601" t="s">
        <v>462</v>
      </c>
      <c r="B252" s="601"/>
      <c r="C252" s="601"/>
      <c r="D252" s="601"/>
      <c r="E252" s="601"/>
      <c r="F252" s="601"/>
      <c r="G252" s="17"/>
      <c r="H252" s="15"/>
      <c r="I252" s="213"/>
      <c r="J252" s="213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1.25" customHeight="1" x14ac:dyDescent="0.25">
      <c r="A253" s="15"/>
      <c r="B253" s="15"/>
      <c r="C253" s="15"/>
      <c r="D253" s="17"/>
      <c r="E253" s="17"/>
      <c r="F253" s="17"/>
      <c r="G253" s="17"/>
      <c r="H253" s="15"/>
      <c r="I253" s="213"/>
      <c r="J253" s="213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1.25" customHeight="1" x14ac:dyDescent="0.25">
      <c r="A254" s="211" t="s">
        <v>321</v>
      </c>
      <c r="B254" s="15"/>
      <c r="C254" s="15"/>
      <c r="D254" s="17"/>
      <c r="E254" s="17"/>
      <c r="F254" s="17"/>
      <c r="G254" s="17"/>
      <c r="H254" s="15"/>
      <c r="I254" s="213"/>
      <c r="J254" s="213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1.25" customHeight="1" x14ac:dyDescent="0.25">
      <c r="A255" s="284" t="s">
        <v>227</v>
      </c>
      <c r="B255" s="285" t="s">
        <v>98</v>
      </c>
      <c r="C255" s="285" t="s">
        <v>55</v>
      </c>
      <c r="D255" s="286" t="s">
        <v>228</v>
      </c>
      <c r="E255" s="286" t="s">
        <v>229</v>
      </c>
      <c r="F255" s="287" t="s">
        <v>230</v>
      </c>
      <c r="G255" s="17"/>
      <c r="H255" s="15"/>
      <c r="I255" s="213"/>
      <c r="J255" s="213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1.25" customHeight="1" x14ac:dyDescent="0.25">
      <c r="A256" s="289" t="s">
        <v>269</v>
      </c>
      <c r="B256" s="290" t="s">
        <v>255</v>
      </c>
      <c r="C256" s="290">
        <v>1</v>
      </c>
      <c r="D256" s="291">
        <f>'0. Qtdades e Custos'!N72</f>
        <v>0</v>
      </c>
      <c r="E256" s="292">
        <f>C256*D256</f>
        <v>0</v>
      </c>
      <c r="F256" s="17"/>
      <c r="G256" s="17"/>
      <c r="H256" s="15"/>
      <c r="I256" s="213"/>
      <c r="J256" s="213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1.25" customHeight="1" x14ac:dyDescent="0.25">
      <c r="A257" s="293" t="s">
        <v>270</v>
      </c>
      <c r="B257" s="294" t="s">
        <v>271</v>
      </c>
      <c r="C257" s="321">
        <f>'0. Qtdades e Custos'!Q72</f>
        <v>5</v>
      </c>
      <c r="D257" s="295"/>
      <c r="E257" s="295"/>
      <c r="F257" s="17"/>
      <c r="G257" s="17"/>
      <c r="H257" s="15"/>
      <c r="I257" s="213"/>
      <c r="J257" s="213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1.25" customHeight="1" x14ac:dyDescent="0.25">
      <c r="A258" s="293" t="s">
        <v>272</v>
      </c>
      <c r="B258" s="294" t="s">
        <v>271</v>
      </c>
      <c r="C258" s="299">
        <v>0</v>
      </c>
      <c r="D258" s="295"/>
      <c r="E258" s="295"/>
      <c r="F258" s="142"/>
      <c r="G258" s="17"/>
      <c r="H258" s="15"/>
      <c r="I258" s="213"/>
      <c r="J258" s="213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1.25" customHeight="1" x14ac:dyDescent="0.25">
      <c r="A259" s="293" t="s">
        <v>273</v>
      </c>
      <c r="B259" s="294" t="s">
        <v>207</v>
      </c>
      <c r="C259" s="298">
        <f>IFERROR(VLOOKUP(C257,'9. Depreciação'!A3:B17,2,0),0)</f>
        <v>55.68</v>
      </c>
      <c r="D259" s="295">
        <f>E256</f>
        <v>0</v>
      </c>
      <c r="E259" s="295">
        <f>C259*D259/100</f>
        <v>0</v>
      </c>
      <c r="F259" s="17"/>
      <c r="G259" s="17"/>
      <c r="H259" s="15"/>
      <c r="I259" s="213"/>
      <c r="J259" s="213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1.25" customHeight="1" x14ac:dyDescent="0.25">
      <c r="A260" s="328" t="s">
        <v>459</v>
      </c>
      <c r="B260" s="329" t="s">
        <v>232</v>
      </c>
      <c r="C260" s="329">
        <f>C257*12</f>
        <v>60</v>
      </c>
      <c r="D260" s="330">
        <f>IF(C258&lt;=C257,E259,0)</f>
        <v>0</v>
      </c>
      <c r="E260" s="330">
        <f>IFERROR(D260/C260,0)</f>
        <v>0</v>
      </c>
      <c r="F260" s="17"/>
      <c r="G260" s="17"/>
      <c r="H260" s="15"/>
      <c r="I260" s="213"/>
      <c r="J260" s="213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1.25" customHeight="1" x14ac:dyDescent="0.25">
      <c r="A261" s="296" t="s">
        <v>275</v>
      </c>
      <c r="B261" s="143"/>
      <c r="C261" s="143"/>
      <c r="D261" s="42"/>
      <c r="E261" s="297">
        <f>E260</f>
        <v>0</v>
      </c>
      <c r="F261" s="17"/>
      <c r="G261" s="17"/>
      <c r="H261" s="15"/>
      <c r="I261" s="213"/>
      <c r="J261" s="213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1.25" customHeight="1" x14ac:dyDescent="0.25">
      <c r="A262" s="181" t="s">
        <v>276</v>
      </c>
      <c r="B262" s="331" t="s">
        <v>255</v>
      </c>
      <c r="C262" s="321">
        <f>'0. Qtdades e Custos'!P72</f>
        <v>1</v>
      </c>
      <c r="D262" s="303">
        <f>E261</f>
        <v>0</v>
      </c>
      <c r="E262" s="297">
        <f>C262*D262</f>
        <v>0</v>
      </c>
      <c r="F262" s="17"/>
      <c r="G262" s="17"/>
      <c r="H262" s="15"/>
      <c r="I262" s="213"/>
      <c r="J262" s="213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1.25" customHeight="1" x14ac:dyDescent="0.25">
      <c r="A263" s="214"/>
      <c r="B263" s="214"/>
      <c r="C263" s="214"/>
      <c r="D263" s="205" t="s">
        <v>239</v>
      </c>
      <c r="E263" s="300">
        <f>$B$57</f>
        <v>1</v>
      </c>
      <c r="F263" s="327">
        <f>E262*E263</f>
        <v>0</v>
      </c>
      <c r="G263" s="17"/>
      <c r="H263" s="15"/>
      <c r="I263" s="213"/>
      <c r="J263" s="213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1.25" customHeight="1" x14ac:dyDescent="0.25">
      <c r="A264" s="15"/>
      <c r="B264" s="15"/>
      <c r="C264" s="15"/>
      <c r="D264" s="17"/>
      <c r="E264" s="17"/>
      <c r="F264" s="17"/>
      <c r="G264" s="17"/>
      <c r="H264" s="15"/>
      <c r="I264" s="213"/>
      <c r="J264" s="213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1.25" customHeight="1" x14ac:dyDescent="0.25">
      <c r="A265" s="211" t="s">
        <v>324</v>
      </c>
      <c r="B265" s="15"/>
      <c r="C265" s="15"/>
      <c r="D265" s="17"/>
      <c r="E265" s="17"/>
      <c r="F265" s="17"/>
      <c r="G265" s="17"/>
      <c r="H265" s="15"/>
      <c r="I265" s="213"/>
      <c r="J265" s="213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1.25" customHeight="1" x14ac:dyDescent="0.25">
      <c r="A266" s="284" t="s">
        <v>227</v>
      </c>
      <c r="B266" s="285" t="s">
        <v>98</v>
      </c>
      <c r="C266" s="285" t="s">
        <v>55</v>
      </c>
      <c r="D266" s="286" t="s">
        <v>228</v>
      </c>
      <c r="E266" s="286" t="s">
        <v>229</v>
      </c>
      <c r="F266" s="287" t="s">
        <v>230</v>
      </c>
      <c r="G266" s="17"/>
      <c r="H266" s="15"/>
      <c r="I266" s="213"/>
      <c r="J266" s="213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1.25" customHeight="1" x14ac:dyDescent="0.25">
      <c r="A267" s="289" t="s">
        <v>278</v>
      </c>
      <c r="B267" s="290" t="s">
        <v>255</v>
      </c>
      <c r="C267" s="290">
        <v>1</v>
      </c>
      <c r="D267" s="292">
        <f>D256</f>
        <v>0</v>
      </c>
      <c r="E267" s="292">
        <f>C267*D267</f>
        <v>0</v>
      </c>
      <c r="F267" s="142"/>
      <c r="G267" s="17"/>
      <c r="H267" s="15"/>
      <c r="I267" s="213"/>
      <c r="J267" s="213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1.25" customHeight="1" x14ac:dyDescent="0.25">
      <c r="A268" s="293" t="s">
        <v>279</v>
      </c>
      <c r="B268" s="294" t="s">
        <v>207</v>
      </c>
      <c r="C268" s="299">
        <v>14.25</v>
      </c>
      <c r="D268" s="295"/>
      <c r="E268" s="295"/>
      <c r="F268" s="142"/>
      <c r="G268" s="17"/>
      <c r="H268" s="15"/>
      <c r="I268" s="213"/>
      <c r="J268" s="213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1.25" customHeight="1" x14ac:dyDescent="0.25">
      <c r="A269" s="293" t="s">
        <v>280</v>
      </c>
      <c r="B269" s="294" t="s">
        <v>250</v>
      </c>
      <c r="C269" s="295">
        <f>IFERROR(IF(C258&lt;=C257,E256-(C259/(100*C257)*C258)*E256,E256-E259),0)</f>
        <v>0</v>
      </c>
      <c r="D269" s="295"/>
      <c r="E269" s="295"/>
      <c r="F269" s="142"/>
      <c r="G269" s="17"/>
      <c r="H269" s="15"/>
      <c r="I269" s="213"/>
      <c r="J269" s="213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1.25" customHeight="1" x14ac:dyDescent="0.25">
      <c r="A270" s="293" t="s">
        <v>281</v>
      </c>
      <c r="B270" s="294" t="s">
        <v>250</v>
      </c>
      <c r="C270" s="295">
        <f>IFERROR(IF(C258&gt;=C257,C269,((((C269)-(E256-E259))*(((C257-C258)+1)/(2*(C257-C258))))+(E256-E259))),0)</f>
        <v>0</v>
      </c>
      <c r="D270" s="295"/>
      <c r="E270" s="295"/>
      <c r="F270" s="142"/>
      <c r="G270" s="17"/>
      <c r="H270" s="15"/>
      <c r="I270" s="213"/>
      <c r="J270" s="213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1.25" customHeight="1" x14ac:dyDescent="0.25">
      <c r="A271" s="328" t="s">
        <v>282</v>
      </c>
      <c r="B271" s="329" t="s">
        <v>250</v>
      </c>
      <c r="C271" s="329"/>
      <c r="D271" s="330">
        <f>C268*C270/12/100</f>
        <v>0</v>
      </c>
      <c r="E271" s="330">
        <f>D271</f>
        <v>0</v>
      </c>
      <c r="F271" s="142"/>
      <c r="G271" s="17"/>
      <c r="H271" s="15"/>
      <c r="I271" s="213"/>
      <c r="J271" s="213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1.25" customHeight="1" x14ac:dyDescent="0.25">
      <c r="A272" s="296" t="s">
        <v>275</v>
      </c>
      <c r="B272" s="143"/>
      <c r="C272" s="143"/>
      <c r="D272" s="42"/>
      <c r="E272" s="297">
        <f>E271</f>
        <v>0</v>
      </c>
      <c r="F272" s="142"/>
      <c r="G272" s="17"/>
      <c r="H272" s="15"/>
      <c r="I272" s="213"/>
      <c r="J272" s="213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1.25" customHeight="1" x14ac:dyDescent="0.25">
      <c r="A273" s="181" t="s">
        <v>276</v>
      </c>
      <c r="B273" s="331" t="s">
        <v>255</v>
      </c>
      <c r="C273" s="332">
        <f>C262</f>
        <v>1</v>
      </c>
      <c r="D273" s="303">
        <f>E272</f>
        <v>0</v>
      </c>
      <c r="E273" s="297">
        <f>C273*D273</f>
        <v>0</v>
      </c>
      <c r="F273" s="142"/>
      <c r="G273" s="17"/>
      <c r="H273" s="15"/>
      <c r="I273" s="213"/>
      <c r="J273" s="213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1.25" customHeight="1" x14ac:dyDescent="0.25">
      <c r="A274" s="15"/>
      <c r="B274" s="15"/>
      <c r="C274" s="141"/>
      <c r="D274" s="205" t="s">
        <v>239</v>
      </c>
      <c r="E274" s="300">
        <f>$B$57</f>
        <v>1</v>
      </c>
      <c r="F274" s="327">
        <f>E273*E274</f>
        <v>0</v>
      </c>
      <c r="G274" s="17"/>
      <c r="H274" s="15"/>
      <c r="I274" s="213"/>
      <c r="J274" s="213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1.25" customHeight="1" x14ac:dyDescent="0.25">
      <c r="A275" s="15"/>
      <c r="B275" s="15"/>
      <c r="C275" s="15"/>
      <c r="D275" s="17"/>
      <c r="E275" s="17"/>
      <c r="F275" s="17"/>
      <c r="G275" s="17"/>
      <c r="H275" s="15"/>
      <c r="I275" s="213"/>
      <c r="J275" s="213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1.25" customHeight="1" x14ac:dyDescent="0.25">
      <c r="A276" s="15" t="s">
        <v>328</v>
      </c>
      <c r="B276" s="15"/>
      <c r="C276" s="15"/>
      <c r="D276" s="17"/>
      <c r="E276" s="17"/>
      <c r="F276" s="17"/>
      <c r="G276" s="17"/>
      <c r="H276" s="15"/>
      <c r="I276" s="213"/>
      <c r="J276" s="213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1.25" customHeight="1" x14ac:dyDescent="0.25">
      <c r="A277" s="284" t="s">
        <v>227</v>
      </c>
      <c r="B277" s="285" t="s">
        <v>98</v>
      </c>
      <c r="C277" s="285" t="s">
        <v>55</v>
      </c>
      <c r="D277" s="286" t="s">
        <v>228</v>
      </c>
      <c r="E277" s="286" t="s">
        <v>229</v>
      </c>
      <c r="F277" s="287" t="s">
        <v>230</v>
      </c>
      <c r="G277" s="17"/>
      <c r="H277" s="15"/>
      <c r="I277" s="213"/>
      <c r="J277" s="213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1.25" customHeight="1" x14ac:dyDescent="0.25">
      <c r="A278" s="289" t="s">
        <v>284</v>
      </c>
      <c r="B278" s="290" t="s">
        <v>255</v>
      </c>
      <c r="C278" s="292">
        <f>C262</f>
        <v>1</v>
      </c>
      <c r="D278" s="292">
        <f>0.01*($E$200)</f>
        <v>0</v>
      </c>
      <c r="E278" s="292">
        <f>C278*D278</f>
        <v>0</v>
      </c>
      <c r="F278" s="17"/>
      <c r="G278" s="17"/>
      <c r="H278" s="15"/>
      <c r="I278" s="213"/>
      <c r="J278" s="213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1.25" customHeight="1" x14ac:dyDescent="0.25">
      <c r="A279" s="293" t="s">
        <v>285</v>
      </c>
      <c r="B279" s="294" t="s">
        <v>255</v>
      </c>
      <c r="C279" s="292">
        <f>C262</f>
        <v>1</v>
      </c>
      <c r="D279" s="313"/>
      <c r="E279" s="295">
        <f>C279*D279</f>
        <v>0</v>
      </c>
      <c r="F279" s="17"/>
      <c r="G279" s="17"/>
      <c r="H279" s="15"/>
      <c r="I279" s="213"/>
      <c r="J279" s="213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1.25" customHeight="1" x14ac:dyDescent="0.25">
      <c r="A280" s="293" t="s">
        <v>286</v>
      </c>
      <c r="B280" s="294" t="s">
        <v>255</v>
      </c>
      <c r="C280" s="292">
        <f>C262</f>
        <v>1</v>
      </c>
      <c r="D280" s="313"/>
      <c r="E280" s="295">
        <f>C280*D280</f>
        <v>0</v>
      </c>
      <c r="F280" s="42"/>
      <c r="G280" s="17"/>
      <c r="H280" s="15"/>
      <c r="I280" s="213"/>
      <c r="J280" s="213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1.25" customHeight="1" x14ac:dyDescent="0.25">
      <c r="A281" s="181" t="s">
        <v>287</v>
      </c>
      <c r="B281" s="331" t="s">
        <v>232</v>
      </c>
      <c r="C281" s="331">
        <v>12</v>
      </c>
      <c r="D281" s="303">
        <f>SUM(E278:E280)</f>
        <v>0</v>
      </c>
      <c r="E281" s="303">
        <f>D281/C281</f>
        <v>0</v>
      </c>
      <c r="F281" s="17"/>
      <c r="G281" s="17"/>
      <c r="H281" s="15"/>
      <c r="I281" s="213"/>
      <c r="J281" s="213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1.25" customHeight="1" x14ac:dyDescent="0.25">
      <c r="A282" s="15"/>
      <c r="B282" s="15"/>
      <c r="C282" s="15"/>
      <c r="D282" s="205" t="s">
        <v>239</v>
      </c>
      <c r="E282" s="300">
        <f>$B$57</f>
        <v>1</v>
      </c>
      <c r="F282" s="301">
        <f>E281*E282</f>
        <v>0</v>
      </c>
      <c r="G282" s="17"/>
      <c r="H282" s="15"/>
      <c r="I282" s="213"/>
      <c r="J282" s="213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1.25" customHeight="1" x14ac:dyDescent="0.25">
      <c r="A283" s="15"/>
      <c r="B283" s="15"/>
      <c r="C283" s="15"/>
      <c r="D283" s="17"/>
      <c r="E283" s="17"/>
      <c r="F283" s="17"/>
      <c r="G283" s="17"/>
      <c r="H283" s="15"/>
      <c r="I283" s="213"/>
      <c r="J283" s="213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1.25" customHeight="1" x14ac:dyDescent="0.25">
      <c r="A284" s="15" t="s">
        <v>330</v>
      </c>
      <c r="B284" s="215"/>
      <c r="C284" s="15"/>
      <c r="D284" s="17"/>
      <c r="E284" s="17"/>
      <c r="F284" s="17"/>
      <c r="G284" s="17"/>
      <c r="H284" s="15"/>
      <c r="I284" s="213"/>
      <c r="J284" s="213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1.25" customHeight="1" x14ac:dyDescent="0.25">
      <c r="A285" s="15"/>
      <c r="B285" s="215"/>
      <c r="C285" s="15"/>
      <c r="D285" s="17"/>
      <c r="E285" s="17"/>
      <c r="F285" s="17"/>
      <c r="G285" s="17"/>
      <c r="H285" s="15"/>
      <c r="I285" s="213"/>
      <c r="J285" s="213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1.25" customHeight="1" x14ac:dyDescent="0.25">
      <c r="A286" s="181" t="s">
        <v>289</v>
      </c>
      <c r="B286" s="333">
        <v>750</v>
      </c>
      <c r="C286" s="15"/>
      <c r="D286" s="17"/>
      <c r="E286" s="17"/>
      <c r="F286" s="17"/>
      <c r="G286" s="17"/>
      <c r="H286" s="15"/>
      <c r="I286" s="213"/>
      <c r="J286" s="213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7.75" customHeight="1" x14ac:dyDescent="0.25">
      <c r="A287" s="334" t="s">
        <v>290</v>
      </c>
      <c r="B287" s="335">
        <f>'0. Qtdades e Custos'!Y72</f>
        <v>0</v>
      </c>
      <c r="C287" s="15"/>
      <c r="D287" s="17"/>
      <c r="E287" s="17"/>
      <c r="F287" s="17"/>
      <c r="G287" s="17"/>
      <c r="H287" s="15"/>
      <c r="I287" s="213"/>
      <c r="J287" s="213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1.25" customHeight="1" x14ac:dyDescent="0.25">
      <c r="A288" s="15"/>
      <c r="B288" s="215"/>
      <c r="C288" s="15"/>
      <c r="D288" s="17"/>
      <c r="E288" s="17"/>
      <c r="F288" s="17"/>
      <c r="G288" s="17"/>
      <c r="H288" s="15"/>
      <c r="I288" s="213"/>
      <c r="J288" s="213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1.25" customHeight="1" x14ac:dyDescent="0.25">
      <c r="A289" s="284" t="s">
        <v>227</v>
      </c>
      <c r="B289" s="285" t="s">
        <v>98</v>
      </c>
      <c r="C289" s="285" t="s">
        <v>291</v>
      </c>
      <c r="D289" s="286" t="s">
        <v>228</v>
      </c>
      <c r="E289" s="286" t="s">
        <v>229</v>
      </c>
      <c r="F289" s="287" t="s">
        <v>230</v>
      </c>
      <c r="G289" s="17"/>
      <c r="H289" s="15"/>
      <c r="I289" s="213"/>
      <c r="J289" s="213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1.25" customHeight="1" x14ac:dyDescent="0.25">
      <c r="A290" s="293" t="s">
        <v>382</v>
      </c>
      <c r="B290" s="290" t="s">
        <v>293</v>
      </c>
      <c r="C290" s="336">
        <f>B287</f>
        <v>0</v>
      </c>
      <c r="D290" s="337">
        <v>6.2</v>
      </c>
      <c r="E290" s="292"/>
      <c r="F290" s="17"/>
      <c r="G290" s="17"/>
      <c r="H290" s="15"/>
      <c r="I290" s="213"/>
      <c r="J290" s="213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334" t="s">
        <v>294</v>
      </c>
      <c r="B291" s="290" t="s">
        <v>295</v>
      </c>
      <c r="C291" s="307">
        <f>C290</f>
        <v>0</v>
      </c>
      <c r="D291" s="338"/>
      <c r="E291" s="295">
        <f>C291*D290</f>
        <v>0</v>
      </c>
      <c r="F291" s="17"/>
      <c r="G291" s="17"/>
      <c r="H291" s="15"/>
      <c r="I291" s="213"/>
      <c r="J291" s="213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1.25" customHeight="1" x14ac:dyDescent="0.25">
      <c r="A292" s="15"/>
      <c r="B292" s="15"/>
      <c r="C292" s="15"/>
      <c r="D292" s="17"/>
      <c r="E292" s="17"/>
      <c r="F292" s="327">
        <f>SUM(E290:E291)</f>
        <v>0</v>
      </c>
      <c r="G292" s="17"/>
      <c r="H292" s="15"/>
      <c r="I292" s="213"/>
      <c r="J292" s="213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1.25" customHeight="1" x14ac:dyDescent="0.25">
      <c r="A293" s="15"/>
      <c r="B293" s="15"/>
      <c r="C293" s="15"/>
      <c r="D293" s="17"/>
      <c r="E293" s="17"/>
      <c r="F293" s="17"/>
      <c r="G293" s="17"/>
      <c r="H293" s="15"/>
      <c r="I293" s="213"/>
      <c r="J293" s="213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1.25" customHeight="1" x14ac:dyDescent="0.25">
      <c r="A294" s="15" t="s">
        <v>332</v>
      </c>
      <c r="B294" s="15"/>
      <c r="C294" s="15"/>
      <c r="D294" s="17"/>
      <c r="E294" s="17"/>
      <c r="F294" s="17"/>
      <c r="G294" s="17"/>
      <c r="H294" s="15"/>
      <c r="I294" s="213"/>
      <c r="J294" s="213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1.25" customHeight="1" x14ac:dyDescent="0.25">
      <c r="A295" s="284" t="s">
        <v>227</v>
      </c>
      <c r="B295" s="285" t="s">
        <v>98</v>
      </c>
      <c r="C295" s="285" t="s">
        <v>55</v>
      </c>
      <c r="D295" s="286" t="s">
        <v>228</v>
      </c>
      <c r="E295" s="286" t="s">
        <v>229</v>
      </c>
      <c r="F295" s="287" t="s">
        <v>230</v>
      </c>
      <c r="G295" s="17"/>
      <c r="H295" s="15"/>
      <c r="I295" s="213"/>
      <c r="J295" s="213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1.25" customHeight="1" x14ac:dyDescent="0.25">
      <c r="A296" s="289" t="s">
        <v>333</v>
      </c>
      <c r="B296" s="290" t="s">
        <v>334</v>
      </c>
      <c r="C296" s="332">
        <f>'0. Qtdades e Custos'!S72/('0. Qtdades e Custos'!Q72*12)</f>
        <v>0.01</v>
      </c>
      <c r="D296" s="291">
        <f>D256</f>
        <v>0</v>
      </c>
      <c r="E296" s="292">
        <f>C296*D296</f>
        <v>0</v>
      </c>
      <c r="F296" s="17"/>
      <c r="G296" s="17"/>
      <c r="H296" s="15"/>
      <c r="I296" s="213"/>
      <c r="J296" s="213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1.25" customHeight="1" x14ac:dyDescent="0.25">
      <c r="A297" s="15"/>
      <c r="B297" s="15"/>
      <c r="C297" s="15"/>
      <c r="D297" s="17"/>
      <c r="E297" s="17"/>
      <c r="F297" s="327">
        <f>E296</f>
        <v>0</v>
      </c>
      <c r="G297" s="17"/>
      <c r="H297" s="15"/>
      <c r="I297" s="213"/>
      <c r="J297" s="213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1.25" customHeight="1" x14ac:dyDescent="0.25">
      <c r="A298" s="15"/>
      <c r="B298" s="15"/>
      <c r="C298" s="15"/>
      <c r="D298" s="17"/>
      <c r="E298" s="17"/>
      <c r="F298" s="17"/>
      <c r="G298" s="17"/>
      <c r="H298" s="15"/>
      <c r="I298" s="213"/>
      <c r="J298" s="213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1.25" customHeight="1" x14ac:dyDescent="0.25">
      <c r="A299" s="15" t="s">
        <v>335</v>
      </c>
      <c r="B299" s="15"/>
      <c r="C299" s="15"/>
      <c r="D299" s="17"/>
      <c r="E299" s="17"/>
      <c r="F299" s="17"/>
      <c r="G299" s="17"/>
      <c r="H299" s="15"/>
      <c r="I299" s="213"/>
      <c r="J299" s="213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1.25" customHeight="1" x14ac:dyDescent="0.25">
      <c r="A300" s="284" t="s">
        <v>227</v>
      </c>
      <c r="B300" s="285" t="s">
        <v>98</v>
      </c>
      <c r="C300" s="285" t="s">
        <v>55</v>
      </c>
      <c r="D300" s="286" t="s">
        <v>228</v>
      </c>
      <c r="E300" s="286" t="s">
        <v>229</v>
      </c>
      <c r="F300" s="287" t="s">
        <v>230</v>
      </c>
      <c r="G300" s="17"/>
      <c r="H300" s="15"/>
      <c r="I300" s="213"/>
      <c r="J300" s="213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1.25" customHeight="1" x14ac:dyDescent="0.25">
      <c r="A301" s="289" t="s">
        <v>301</v>
      </c>
      <c r="B301" s="290" t="s">
        <v>255</v>
      </c>
      <c r="C301" s="341">
        <v>4</v>
      </c>
      <c r="D301" s="291"/>
      <c r="E301" s="292">
        <f>C301*D301</f>
        <v>0</v>
      </c>
      <c r="F301" s="17"/>
      <c r="G301" s="17"/>
      <c r="H301" s="15"/>
      <c r="I301" s="213"/>
      <c r="J301" s="213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1.25" customHeight="1" x14ac:dyDescent="0.25">
      <c r="A302" s="289" t="s">
        <v>302</v>
      </c>
      <c r="B302" s="290" t="s">
        <v>255</v>
      </c>
      <c r="C302" s="341">
        <v>0</v>
      </c>
      <c r="D302" s="292"/>
      <c r="E302" s="292"/>
      <c r="F302" s="17"/>
      <c r="G302" s="17"/>
      <c r="H302" s="15"/>
      <c r="I302" s="213"/>
      <c r="J302" s="213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1.25" customHeight="1" x14ac:dyDescent="0.25">
      <c r="A303" s="289" t="s">
        <v>461</v>
      </c>
      <c r="B303" s="290" t="s">
        <v>255</v>
      </c>
      <c r="C303" s="292">
        <f>C301*C302</f>
        <v>0</v>
      </c>
      <c r="D303" s="336">
        <v>0</v>
      </c>
      <c r="E303" s="292">
        <f>C303*D303</f>
        <v>0</v>
      </c>
      <c r="F303" s="17"/>
      <c r="G303" s="17"/>
      <c r="H303" s="15"/>
      <c r="I303" s="213"/>
      <c r="J303" s="213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1.25" customHeight="1" x14ac:dyDescent="0.25">
      <c r="A304" s="289" t="s">
        <v>463</v>
      </c>
      <c r="B304" s="431" t="s">
        <v>305</v>
      </c>
      <c r="C304" s="342">
        <v>40000</v>
      </c>
      <c r="D304" s="295">
        <f>E301+E303</f>
        <v>0</v>
      </c>
      <c r="E304" s="295">
        <f>IFERROR(D304/C304,"-")</f>
        <v>0</v>
      </c>
      <c r="F304" s="17"/>
      <c r="G304" s="17"/>
      <c r="H304" s="15"/>
      <c r="I304" s="213"/>
      <c r="J304" s="213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1.25" customHeight="1" x14ac:dyDescent="0.25">
      <c r="A305" s="293" t="s">
        <v>306</v>
      </c>
      <c r="B305" s="294" t="s">
        <v>307</v>
      </c>
      <c r="C305" s="307">
        <f>B286</f>
        <v>750</v>
      </c>
      <c r="D305" s="295">
        <f>E304</f>
        <v>0</v>
      </c>
      <c r="E305" s="295">
        <f>IFERROR(C305*D305,0)</f>
        <v>0</v>
      </c>
      <c r="F305" s="17"/>
      <c r="G305" s="17"/>
      <c r="H305" s="15"/>
      <c r="I305" s="213"/>
      <c r="J305" s="213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1.25" customHeight="1" x14ac:dyDescent="0.25">
      <c r="A306" s="15"/>
      <c r="B306" s="15"/>
      <c r="C306" s="15"/>
      <c r="D306" s="17"/>
      <c r="E306" s="17"/>
      <c r="F306" s="327">
        <f>E305</f>
        <v>0</v>
      </c>
      <c r="G306" s="17"/>
      <c r="H306" s="15"/>
      <c r="I306" s="213"/>
      <c r="J306" s="213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1.25" customHeight="1" x14ac:dyDescent="0.25">
      <c r="A307" s="15"/>
      <c r="B307" s="15"/>
      <c r="C307" s="15"/>
      <c r="D307" s="17"/>
      <c r="E307" s="17"/>
      <c r="F307" s="17"/>
      <c r="G307" s="17"/>
      <c r="H307" s="15"/>
      <c r="I307" s="213"/>
      <c r="J307" s="213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1.25" customHeight="1" x14ac:dyDescent="0.25">
      <c r="A308" s="15"/>
      <c r="B308" s="15"/>
      <c r="C308" s="15"/>
      <c r="D308" s="17"/>
      <c r="E308" s="17"/>
      <c r="F308" s="17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316" t="s">
        <v>387</v>
      </c>
      <c r="B309" s="317"/>
      <c r="C309" s="317"/>
      <c r="D309" s="257"/>
      <c r="E309" s="318"/>
      <c r="F309" s="327">
        <f>+SUM(F200:F308)</f>
        <v>0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1.25" customHeight="1" x14ac:dyDescent="0.25">
      <c r="A310" s="15"/>
      <c r="B310" s="15"/>
      <c r="C310" s="15"/>
      <c r="D310" s="17"/>
      <c r="E310" s="17"/>
      <c r="F310" s="17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1.25" customHeight="1" x14ac:dyDescent="0.25">
      <c r="A311" s="15"/>
      <c r="B311" s="15"/>
      <c r="C311" s="15"/>
      <c r="D311" s="17"/>
      <c r="E311" s="17"/>
      <c r="F311" s="17"/>
      <c r="G311" s="17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7.25" customHeight="1" x14ac:dyDescent="0.25">
      <c r="A312" s="316" t="s">
        <v>390</v>
      </c>
      <c r="B312" s="324"/>
      <c r="C312" s="324"/>
      <c r="D312" s="325"/>
      <c r="E312" s="326"/>
      <c r="F312" s="312">
        <f>+F132+F192+F309</f>
        <v>0</v>
      </c>
      <c r="G312" s="17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1.25" customHeight="1" x14ac:dyDescent="0.25">
      <c r="A313" s="15"/>
      <c r="B313" s="15"/>
      <c r="C313" s="15"/>
      <c r="D313" s="17"/>
      <c r="E313" s="17"/>
      <c r="F313" s="17"/>
      <c r="G313" s="17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44" t="s">
        <v>429</v>
      </c>
      <c r="B314" s="15"/>
      <c r="C314" s="15"/>
      <c r="D314" s="17"/>
      <c r="E314" s="17"/>
      <c r="F314" s="17"/>
      <c r="G314" s="17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1.25" customHeight="1" x14ac:dyDescent="0.25">
      <c r="A315" s="15"/>
      <c r="B315" s="15"/>
      <c r="C315" s="15"/>
      <c r="D315" s="17"/>
      <c r="E315" s="17"/>
      <c r="F315" s="17"/>
      <c r="G315" s="17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284" t="s">
        <v>227</v>
      </c>
      <c r="B316" s="285" t="s">
        <v>98</v>
      </c>
      <c r="C316" s="285" t="s">
        <v>55</v>
      </c>
      <c r="D316" s="286" t="s">
        <v>228</v>
      </c>
      <c r="E316" s="286" t="s">
        <v>229</v>
      </c>
      <c r="F316" s="287" t="s">
        <v>230</v>
      </c>
      <c r="G316" s="17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289" t="s">
        <v>392</v>
      </c>
      <c r="B317" s="290" t="s">
        <v>207</v>
      </c>
      <c r="C317" s="298">
        <f>'8. BDI'!C20*100</f>
        <v>24.84</v>
      </c>
      <c r="D317" s="292">
        <f>+F312</f>
        <v>0</v>
      </c>
      <c r="E317" s="292">
        <f>C317*D317/100</f>
        <v>0</v>
      </c>
      <c r="F317" s="17"/>
      <c r="G317" s="17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7"/>
      <c r="E318" s="17"/>
      <c r="F318" s="327">
        <f>+E317</f>
        <v>0</v>
      </c>
      <c r="G318" s="17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1.25" customHeight="1" x14ac:dyDescent="0.25">
      <c r="A319" s="15"/>
      <c r="B319" s="15"/>
      <c r="C319" s="15"/>
      <c r="D319" s="17"/>
      <c r="E319" s="17"/>
      <c r="F319" s="17"/>
      <c r="G319" s="17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316" t="s">
        <v>393</v>
      </c>
      <c r="B320" s="324"/>
      <c r="C320" s="324"/>
      <c r="D320" s="325"/>
      <c r="E320" s="326"/>
      <c r="F320" s="312">
        <f>F318</f>
        <v>0</v>
      </c>
      <c r="G320" s="17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44"/>
      <c r="B321" s="44"/>
      <c r="C321" s="44"/>
      <c r="D321" s="43"/>
      <c r="E321" s="43"/>
      <c r="F321" s="42"/>
      <c r="G321" s="17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1.25" customHeight="1" x14ac:dyDescent="0.25">
      <c r="A322" s="15"/>
      <c r="B322" s="15"/>
      <c r="C322" s="15"/>
      <c r="D322" s="17"/>
      <c r="E322" s="17"/>
      <c r="F322" s="17"/>
      <c r="G322" s="17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4.75" customHeight="1" x14ac:dyDescent="0.25">
      <c r="A323" s="316" t="s">
        <v>398</v>
      </c>
      <c r="B323" s="324"/>
      <c r="C323" s="324"/>
      <c r="D323" s="325"/>
      <c r="E323" s="326"/>
      <c r="F323" s="312">
        <f>F312+F320</f>
        <v>0</v>
      </c>
      <c r="G323" s="17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" customHeight="1" x14ac:dyDescent="0.25"/>
    <row r="325" spans="1:26" ht="9.75" customHeight="1" x14ac:dyDescent="0.25"/>
    <row r="326" spans="1:26" ht="9.75" customHeight="1" x14ac:dyDescent="0.25"/>
    <row r="327" spans="1:26" ht="12.75" customHeight="1" x14ac:dyDescent="0.25"/>
    <row r="328" spans="1:26" ht="12.75" customHeight="1" x14ac:dyDescent="0.25"/>
    <row r="329" spans="1:26" ht="12.75" customHeight="1" x14ac:dyDescent="0.25"/>
    <row r="330" spans="1:26" ht="12.75" customHeight="1" x14ac:dyDescent="0.25"/>
    <row r="331" spans="1:26" ht="12.75" customHeight="1" x14ac:dyDescent="0.25"/>
    <row r="332" spans="1:26" ht="12.75" customHeight="1" x14ac:dyDescent="0.25"/>
    <row r="333" spans="1:26" ht="12.75" customHeight="1" x14ac:dyDescent="0.25"/>
    <row r="334" spans="1:26" ht="12.75" customHeight="1" x14ac:dyDescent="0.25"/>
    <row r="335" spans="1:26" ht="12.75" customHeight="1" x14ac:dyDescent="0.25"/>
    <row r="336" spans="1:2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9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54:D54"/>
    <mergeCell ref="A55:D55"/>
    <mergeCell ref="A196:F196"/>
    <mergeCell ref="A252:F252"/>
    <mergeCell ref="A33:D33"/>
    <mergeCell ref="A44:E44"/>
    <mergeCell ref="A45:D45"/>
    <mergeCell ref="A52:D52"/>
    <mergeCell ref="A53:D53"/>
    <mergeCell ref="A11:F11"/>
    <mergeCell ref="A12:F12"/>
    <mergeCell ref="A14:F14"/>
    <mergeCell ref="A24:C24"/>
    <mergeCell ref="A26:D26"/>
  </mergeCells>
  <hyperlinks>
    <hyperlink ref="A27" location="Google_Sheet_Link_730534228" display="    3.1.1. Depreciação    "/>
    <hyperlink ref="A28" location="Google_Sheet_Link_508534547" display="    3.1.2. Remuneração do Capital    "/>
    <hyperlink ref="A34" location="Google_Sheet_Link_1900009241" display="    3.2.1. Depreciação    "/>
    <hyperlink ref="A35" location="Google_Sheet_Link_462677635" display="    3.2.2. Remuneração do Capital    "/>
    <hyperlink ref="A198" location="Google_Sheet_Link_730534228" display="3.1.1. Depreciação"/>
    <hyperlink ref="A209" location="Google_Sheet_Link_508534547" display="3.1.2. Remuneração do Capital"/>
    <hyperlink ref="A254" location="Google_Sheet_Link_1900009241" display="3.2.1. Depreciação"/>
    <hyperlink ref="A265" location="Google_Sheet_Link_462677635" display="3.2.2. Remuneração do Capital"/>
  </hyperlinks>
  <pageMargins left="0.905555555555556" right="0.51180555555555496" top="0.74791666666666701" bottom="0.74791666666666701" header="0.51180555555555496" footer="0"/>
  <pageSetup paperSize="9" firstPageNumber="0" fitToHeight="0" orientation="portrait" horizontalDpi="300" verticalDpi="300"/>
  <headerFooter>
    <oddFooter>&amp;R&amp;P de</oddFooter>
  </headerFooter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RowHeight="13.2" x14ac:dyDescent="0.25"/>
  <cols>
    <col min="1" max="1" width="13.6640625" customWidth="1"/>
    <col min="2" max="2" width="39.6640625" customWidth="1"/>
    <col min="3" max="3" width="14.6640625" customWidth="1"/>
    <col min="4" max="4" width="37.21875" customWidth="1"/>
    <col min="5" max="10" width="9.109375" customWidth="1"/>
    <col min="11" max="11" width="11" customWidth="1"/>
    <col min="12" max="12" width="9.109375" customWidth="1"/>
    <col min="13" max="26" width="8.6640625" customWidth="1"/>
    <col min="27" max="1025" width="12.6640625" customWidth="1"/>
  </cols>
  <sheetData>
    <row r="1" spans="1:26" ht="12.75" customHeight="1" x14ac:dyDescent="0.25">
      <c r="A1" s="44" t="s">
        <v>194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2.75" customHeight="1" x14ac:dyDescent="0.25">
      <c r="A2" s="222" t="s">
        <v>464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5" customHeight="1" x14ac:dyDescent="0.25">
      <c r="A3" s="15"/>
      <c r="B3" s="222"/>
      <c r="C3" s="222"/>
      <c r="D3" s="222"/>
      <c r="E3" s="222"/>
      <c r="F3" s="222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" customHeight="1" x14ac:dyDescent="0.25">
      <c r="A4" s="18" t="s">
        <v>200</v>
      </c>
      <c r="B4" s="222"/>
      <c r="C4" s="222"/>
      <c r="D4" s="222"/>
      <c r="E4" s="222"/>
      <c r="F4" s="222"/>
      <c r="G4" s="1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6.5" customHeight="1" x14ac:dyDescent="0.25">
      <c r="A5" s="18" t="s">
        <v>201</v>
      </c>
      <c r="B5" s="222"/>
      <c r="C5" s="222"/>
      <c r="D5" s="17"/>
      <c r="E5" s="17"/>
      <c r="F5" s="17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2.75" customHeight="1" x14ac:dyDescent="0.25">
      <c r="A7" s="603" t="s">
        <v>465</v>
      </c>
      <c r="B7" s="603"/>
      <c r="C7" s="603"/>
      <c r="D7" s="432"/>
      <c r="E7" s="432"/>
      <c r="F7" s="432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2.75" customHeight="1" x14ac:dyDescent="0.25">
      <c r="A8" s="433" t="s">
        <v>466</v>
      </c>
      <c r="B8" s="434" t="s">
        <v>467</v>
      </c>
      <c r="C8" s="435" t="s">
        <v>54</v>
      </c>
      <c r="D8" s="436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2.75" customHeight="1" x14ac:dyDescent="0.25">
      <c r="A9" s="433" t="s">
        <v>468</v>
      </c>
      <c r="B9" s="434" t="s">
        <v>469</v>
      </c>
      <c r="C9" s="437">
        <v>0.2</v>
      </c>
      <c r="D9" s="436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2.75" customHeight="1" x14ac:dyDescent="0.25">
      <c r="A10" s="433" t="s">
        <v>470</v>
      </c>
      <c r="B10" s="434" t="s">
        <v>471</v>
      </c>
      <c r="C10" s="437">
        <v>1.4999999999999999E-2</v>
      </c>
      <c r="D10" s="436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2.75" customHeight="1" x14ac:dyDescent="0.25">
      <c r="A11" s="433" t="s">
        <v>472</v>
      </c>
      <c r="B11" s="434" t="s">
        <v>473</v>
      </c>
      <c r="C11" s="437">
        <v>0.01</v>
      </c>
      <c r="D11" s="436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2.75" customHeight="1" x14ac:dyDescent="0.25">
      <c r="A12" s="433" t="s">
        <v>474</v>
      </c>
      <c r="B12" s="434" t="s">
        <v>475</v>
      </c>
      <c r="C12" s="437">
        <v>2E-3</v>
      </c>
      <c r="D12" s="436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2.75" customHeight="1" x14ac:dyDescent="0.25">
      <c r="A13" s="433" t="s">
        <v>476</v>
      </c>
      <c r="B13" s="434" t="s">
        <v>477</v>
      </c>
      <c r="C13" s="437">
        <v>6.0000000000000001E-3</v>
      </c>
      <c r="D13" s="436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2.75" customHeight="1" x14ac:dyDescent="0.25">
      <c r="A14" s="433" t="s">
        <v>478</v>
      </c>
      <c r="B14" s="434" t="s">
        <v>479</v>
      </c>
      <c r="C14" s="437">
        <v>2.5000000000000001E-2</v>
      </c>
      <c r="D14" s="436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2.75" customHeight="1" x14ac:dyDescent="0.25">
      <c r="A15" s="433" t="s">
        <v>480</v>
      </c>
      <c r="B15" s="434" t="s">
        <v>481</v>
      </c>
      <c r="C15" s="437">
        <v>0.03</v>
      </c>
      <c r="D15" s="436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2.75" customHeight="1" x14ac:dyDescent="0.25">
      <c r="A16" s="433" t="s">
        <v>482</v>
      </c>
      <c r="B16" s="434" t="s">
        <v>483</v>
      </c>
      <c r="C16" s="437">
        <v>0.08</v>
      </c>
      <c r="D16" s="436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2.75" customHeight="1" x14ac:dyDescent="0.25">
      <c r="A17" s="433" t="s">
        <v>484</v>
      </c>
      <c r="B17" s="438" t="s">
        <v>485</v>
      </c>
      <c r="C17" s="439">
        <f>SUM(C9:C16)</f>
        <v>0.36800000000000005</v>
      </c>
      <c r="D17" s="436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2.75" customHeight="1" x14ac:dyDescent="0.25">
      <c r="A18" s="440"/>
      <c r="B18" s="441"/>
      <c r="C18" s="442"/>
      <c r="D18" s="436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2.75" customHeight="1" x14ac:dyDescent="0.25">
      <c r="A19" s="433" t="s">
        <v>486</v>
      </c>
      <c r="B19" s="434" t="s">
        <v>487</v>
      </c>
      <c r="C19" s="437">
        <f>ROUND(IF('7.CAGED'!C28&gt;24,(1-12/'7.CAGED'!C28)*0.1111,0.1111-C28),4)</f>
        <v>5.0200000000000002E-2</v>
      </c>
      <c r="D19" s="436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2.75" customHeight="1" x14ac:dyDescent="0.25">
      <c r="A20" s="433" t="s">
        <v>488</v>
      </c>
      <c r="B20" s="434" t="s">
        <v>489</v>
      </c>
      <c r="C20" s="437">
        <f>ROUND('7.CAGED'!C32/'7.CAGED'!C29,4)</f>
        <v>8.3299999999999999E-2</v>
      </c>
      <c r="D20" s="436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2.75" customHeight="1" x14ac:dyDescent="0.25">
      <c r="A21" s="433" t="s">
        <v>490</v>
      </c>
      <c r="B21" s="434" t="s">
        <v>491</v>
      </c>
      <c r="C21" s="437">
        <v>5.9999999999999995E-4</v>
      </c>
      <c r="D21" s="436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2.75" customHeight="1" x14ac:dyDescent="0.25">
      <c r="A22" s="433" t="s">
        <v>492</v>
      </c>
      <c r="B22" s="434" t="s">
        <v>493</v>
      </c>
      <c r="C22" s="437">
        <v>8.2000000000000007E-3</v>
      </c>
      <c r="D22" s="436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2.75" customHeight="1" x14ac:dyDescent="0.25">
      <c r="A23" s="433" t="s">
        <v>494</v>
      </c>
      <c r="B23" s="434" t="s">
        <v>495</v>
      </c>
      <c r="C23" s="437">
        <v>3.0999999999999999E-3</v>
      </c>
      <c r="D23" s="436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2.75" customHeight="1" x14ac:dyDescent="0.25">
      <c r="A24" s="433" t="s">
        <v>496</v>
      </c>
      <c r="B24" s="434" t="s">
        <v>497</v>
      </c>
      <c r="C24" s="437">
        <v>1.66E-2</v>
      </c>
      <c r="D24" s="436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2.75" customHeight="1" x14ac:dyDescent="0.25">
      <c r="A25" s="433" t="s">
        <v>498</v>
      </c>
      <c r="B25" s="438" t="s">
        <v>499</v>
      </c>
      <c r="C25" s="439">
        <f>SUM(C19:C24)</f>
        <v>0.16200000000000001</v>
      </c>
      <c r="D25" s="443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12.75" customHeight="1" x14ac:dyDescent="0.25">
      <c r="A26" s="440"/>
      <c r="B26" s="441"/>
      <c r="C26" s="442"/>
      <c r="D26" s="443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2.75" customHeight="1" x14ac:dyDescent="0.25">
      <c r="A27" s="433" t="s">
        <v>500</v>
      </c>
      <c r="B27" s="434" t="s">
        <v>501</v>
      </c>
      <c r="C27" s="437">
        <f>ROUND(('7.CAGED'!C33) *'7.CAGED'!C26/'7.CAGED'!C29,4)</f>
        <v>3.2099999999999997E-2</v>
      </c>
      <c r="D27" s="436"/>
      <c r="E27" s="444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12.75" customHeight="1" x14ac:dyDescent="0.25">
      <c r="A28" s="433" t="s">
        <v>502</v>
      </c>
      <c r="B28" s="434" t="s">
        <v>503</v>
      </c>
      <c r="C28" s="437">
        <f>ROUND(IF('7.CAGED'!C28&gt;12,12/'7.CAGED'!C28*0.1111,0.1111),4)</f>
        <v>6.0900000000000003E-2</v>
      </c>
      <c r="D28" s="436"/>
      <c r="E28" s="125"/>
      <c r="F28" s="125"/>
      <c r="G28" s="125"/>
      <c r="H28" s="44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12.75" customHeight="1" x14ac:dyDescent="0.25">
      <c r="A29" s="433" t="s">
        <v>504</v>
      </c>
      <c r="B29" s="434" t="s">
        <v>505</v>
      </c>
      <c r="C29" s="437">
        <f>C27*C28</f>
        <v>1.9548899999999999E-3</v>
      </c>
      <c r="D29" s="436"/>
      <c r="E29" s="44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12.75" customHeight="1" x14ac:dyDescent="0.25">
      <c r="A30" s="433" t="s">
        <v>506</v>
      </c>
      <c r="B30" s="434" t="s">
        <v>507</v>
      </c>
      <c r="C30" s="437">
        <f>ROUND(('7.CAGED'!C29+'7.CAGED'!C30+'7.CAGED'!C32)/'7.CAGED'!C27*'7.CAGED'!C34*'7.CAGED'!C35*'7.CAGED'!C26/'7.CAGED'!C29,4)</f>
        <v>2.2700000000000001E-2</v>
      </c>
      <c r="D30" s="436"/>
      <c r="E30" s="125"/>
      <c r="F30" s="125"/>
      <c r="G30" s="444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12.75" customHeight="1" x14ac:dyDescent="0.25">
      <c r="A31" s="433" t="s">
        <v>508</v>
      </c>
      <c r="B31" s="434" t="s">
        <v>509</v>
      </c>
      <c r="C31" s="437">
        <f>ROUND(('7.CAGED'!C31/'7.CAGED'!C29)*'7.CAGED'!C26/12,4)</f>
        <v>2.3999999999999998E-3</v>
      </c>
      <c r="D31" s="436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12.75" customHeight="1" x14ac:dyDescent="0.25">
      <c r="A32" s="433" t="s">
        <v>510</v>
      </c>
      <c r="B32" s="438" t="s">
        <v>511</v>
      </c>
      <c r="C32" s="439">
        <f>SUM(C27:C31)</f>
        <v>0.12005489</v>
      </c>
      <c r="D32" s="443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12.75" customHeight="1" x14ac:dyDescent="0.25">
      <c r="A33" s="440"/>
      <c r="B33" s="441"/>
      <c r="C33" s="442"/>
      <c r="D33" s="443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12.75" customHeight="1" x14ac:dyDescent="0.25">
      <c r="A34" s="433" t="s">
        <v>512</v>
      </c>
      <c r="B34" s="434" t="s">
        <v>513</v>
      </c>
      <c r="C34" s="437">
        <f>ROUND(C17*C25,4)</f>
        <v>5.96E-2</v>
      </c>
      <c r="D34" s="436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2.75" customHeight="1" x14ac:dyDescent="0.25">
      <c r="A35" s="433" t="s">
        <v>514</v>
      </c>
      <c r="B35" s="446" t="s">
        <v>515</v>
      </c>
      <c r="C35" s="437">
        <f>ROUND((C27*C16),4)</f>
        <v>2.5999999999999999E-3</v>
      </c>
      <c r="D35" s="436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12.75" customHeight="1" x14ac:dyDescent="0.25">
      <c r="A36" s="433" t="s">
        <v>516</v>
      </c>
      <c r="B36" s="438" t="s">
        <v>517</v>
      </c>
      <c r="C36" s="439">
        <f>SUM(C34:C35)</f>
        <v>6.2199999999999998E-2</v>
      </c>
      <c r="D36" s="443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12.75" customHeight="1" x14ac:dyDescent="0.25">
      <c r="A37" s="447"/>
      <c r="B37" s="448" t="s">
        <v>518</v>
      </c>
      <c r="C37" s="449">
        <f>C36+C32+C25+C17</f>
        <v>0.71225489000000008</v>
      </c>
      <c r="D37" s="443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12.75" customHeight="1" x14ac:dyDescent="0.25">
      <c r="A38" s="436"/>
      <c r="B38" s="450"/>
      <c r="C38" s="451"/>
      <c r="D38" s="452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12.75" customHeight="1" x14ac:dyDescent="0.25">
      <c r="A39" s="436"/>
      <c r="B39" s="436"/>
      <c r="C39" s="453"/>
      <c r="D39" s="45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12.75" customHeight="1" x14ac:dyDescent="0.25"/>
    <row r="41" spans="1:26" ht="12.75" customHeight="1" x14ac:dyDescent="0.25"/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A7:C7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RowHeight="13.2" x14ac:dyDescent="0.25"/>
  <cols>
    <col min="1" max="1" width="8.6640625" customWidth="1"/>
    <col min="2" max="2" width="67.109375" customWidth="1"/>
    <col min="3" max="3" width="13.77734375" customWidth="1"/>
    <col min="4" max="4" width="10.21875" customWidth="1"/>
    <col min="5" max="5" width="13.77734375" customWidth="1"/>
    <col min="6" max="6" width="9.109375" customWidth="1"/>
    <col min="7" max="26" width="8.6640625" customWidth="1"/>
    <col min="27" max="1025" width="12.6640625" customWidth="1"/>
  </cols>
  <sheetData>
    <row r="1" spans="1:26" ht="12.75" customHeight="1" x14ac:dyDescent="0.25">
      <c r="A1" s="46" t="s">
        <v>519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2.7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2.75" customHeight="1" x14ac:dyDescent="0.25">
      <c r="A3" s="455" t="s">
        <v>520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2.75" customHeight="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2.75" customHeight="1" x14ac:dyDescent="0.25">
      <c r="A5" s="455" t="s">
        <v>521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2.7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2.75" customHeight="1" x14ac:dyDescent="0.3">
      <c r="A7" s="125"/>
      <c r="B7" s="604" t="s">
        <v>522</v>
      </c>
      <c r="C7" s="60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2.75" customHeight="1" x14ac:dyDescent="0.25">
      <c r="A8" s="125"/>
      <c r="B8" s="456" t="s">
        <v>523</v>
      </c>
      <c r="C8" s="457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2.75" customHeight="1" x14ac:dyDescent="0.25">
      <c r="A9" s="125"/>
      <c r="B9" s="458" t="s">
        <v>524</v>
      </c>
      <c r="C9" s="459">
        <v>2638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2.75" customHeight="1" x14ac:dyDescent="0.25">
      <c r="A10" s="125"/>
      <c r="B10" s="460" t="s">
        <v>525</v>
      </c>
      <c r="C10" s="459">
        <v>2224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2.75" customHeight="1" x14ac:dyDescent="0.25">
      <c r="A11" s="125"/>
      <c r="B11" s="461" t="s">
        <v>526</v>
      </c>
      <c r="C11" s="462">
        <v>35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2.75" customHeight="1" x14ac:dyDescent="0.25">
      <c r="A12" s="125"/>
      <c r="B12" s="461" t="s">
        <v>527</v>
      </c>
      <c r="C12" s="462">
        <v>1552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2.75" customHeight="1" x14ac:dyDescent="0.25">
      <c r="A13" s="125"/>
      <c r="B13" s="461" t="s">
        <v>528</v>
      </c>
      <c r="C13" s="462">
        <v>350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2.75" customHeight="1" x14ac:dyDescent="0.25">
      <c r="A14" s="125"/>
      <c r="B14" s="461" t="s">
        <v>529</v>
      </c>
      <c r="C14" s="462">
        <v>12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2.75" customHeight="1" x14ac:dyDescent="0.25">
      <c r="A15" s="125"/>
      <c r="B15" s="461" t="s">
        <v>530</v>
      </c>
      <c r="C15" s="462">
        <v>345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2.75" customHeight="1" x14ac:dyDescent="0.25">
      <c r="A16" s="125"/>
      <c r="B16" s="461" t="s">
        <v>531</v>
      </c>
      <c r="C16" s="462">
        <v>0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2.75" customHeight="1" x14ac:dyDescent="0.25">
      <c r="A17" s="125"/>
      <c r="B17" s="461" t="s">
        <v>532</v>
      </c>
      <c r="C17" s="462">
        <v>21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2.75" customHeight="1" x14ac:dyDescent="0.25">
      <c r="A18" s="125"/>
      <c r="B18" s="463" t="s">
        <v>533</v>
      </c>
      <c r="C18" s="464">
        <v>0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2.75" customHeight="1" x14ac:dyDescent="0.25">
      <c r="A19" s="125"/>
      <c r="B19" s="465" t="s">
        <v>534</v>
      </c>
      <c r="C19" s="464">
        <v>1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2.75" customHeight="1" x14ac:dyDescent="0.25">
      <c r="A20" s="125" t="s">
        <v>535</v>
      </c>
      <c r="B20" s="456" t="s">
        <v>536</v>
      </c>
      <c r="C20" s="457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2.75" customHeight="1" x14ac:dyDescent="0.25">
      <c r="A21" s="125"/>
      <c r="B21" s="466" t="s">
        <v>537</v>
      </c>
      <c r="C21" s="467">
        <v>4208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2.75" customHeight="1" x14ac:dyDescent="0.25">
      <c r="A22" s="125"/>
      <c r="B22" s="461" t="s">
        <v>538</v>
      </c>
      <c r="C22" s="468">
        <v>4655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2.75" customHeight="1" x14ac:dyDescent="0.25">
      <c r="A23" s="125"/>
      <c r="B23" s="461" t="s">
        <v>539</v>
      </c>
      <c r="C23" s="469">
        <f>C9-C10</f>
        <v>414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2.75" customHeight="1" x14ac:dyDescent="0.25">
      <c r="A24" s="125"/>
      <c r="B24" s="470"/>
      <c r="C24" s="471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2.75" customHeight="1" x14ac:dyDescent="0.25">
      <c r="A25" s="46"/>
      <c r="B25" s="458" t="s">
        <v>540</v>
      </c>
      <c r="C25" s="472">
        <f>MEDIAN(C21,C22)</f>
        <v>4431.5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2.75" customHeight="1" x14ac:dyDescent="0.25">
      <c r="A26" s="125"/>
      <c r="B26" s="460" t="s">
        <v>541</v>
      </c>
      <c r="C26" s="473">
        <f>C12/C25</f>
        <v>0.35022001579600587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2.75" customHeight="1" x14ac:dyDescent="0.25">
      <c r="A27" s="125"/>
      <c r="B27" s="460" t="s">
        <v>542</v>
      </c>
      <c r="C27" s="473">
        <f>MEDIAN(C9,C10)/C25</f>
        <v>0.54857271804129526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12.75" customHeight="1" x14ac:dyDescent="0.25">
      <c r="A28" s="46"/>
      <c r="B28" s="460" t="s">
        <v>543</v>
      </c>
      <c r="C28" s="474">
        <f>12/C27</f>
        <v>21.874948580830935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2.75" customHeight="1" x14ac:dyDescent="0.25">
      <c r="A29" s="125"/>
      <c r="B29" s="460" t="s">
        <v>544</v>
      </c>
      <c r="C29" s="475">
        <v>360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12.75" customHeight="1" x14ac:dyDescent="0.25">
      <c r="A30" s="125"/>
      <c r="B30" s="460" t="s">
        <v>545</v>
      </c>
      <c r="C30" s="475">
        <v>10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12.75" customHeight="1" x14ac:dyDescent="0.25">
      <c r="A31" s="125"/>
      <c r="B31" s="458" t="s">
        <v>546</v>
      </c>
      <c r="C31" s="476">
        <v>30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12.75" customHeight="1" x14ac:dyDescent="0.25">
      <c r="A32" s="125"/>
      <c r="B32" s="458" t="s">
        <v>547</v>
      </c>
      <c r="C32" s="476">
        <v>30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12.75" customHeight="1" x14ac:dyDescent="0.25">
      <c r="A33" s="46"/>
      <c r="B33" s="458" t="s">
        <v>548</v>
      </c>
      <c r="C33" s="476">
        <f>30+(3*TRUNC(1/C27))</f>
        <v>33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2.75" customHeight="1" x14ac:dyDescent="0.25">
      <c r="A34" s="46"/>
      <c r="B34" s="460" t="s">
        <v>483</v>
      </c>
      <c r="C34" s="477">
        <v>0.08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2.75" customHeight="1" x14ac:dyDescent="0.25">
      <c r="A35" s="46"/>
      <c r="B35" s="478" t="s">
        <v>549</v>
      </c>
      <c r="C35" s="479">
        <v>0.4</v>
      </c>
      <c r="D35" s="46" t="s">
        <v>550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2.75" customHeight="1" x14ac:dyDescent="0.25"/>
    <row r="37" spans="1:26" ht="12.75" customHeight="1" x14ac:dyDescent="0.25"/>
    <row r="38" spans="1:26" ht="12.75" customHeight="1" x14ac:dyDescent="0.25"/>
    <row r="39" spans="1:26" ht="12.75" customHeight="1" x14ac:dyDescent="0.25"/>
    <row r="40" spans="1:26" ht="12.75" customHeight="1" x14ac:dyDescent="0.25"/>
    <row r="41" spans="1:26" ht="12.75" customHeight="1" x14ac:dyDescent="0.25"/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B7:C7"/>
  </mergeCells>
  <pageMargins left="0.905555555555556" right="0.51180555555555496" top="0.74791666666666701" bottom="0.74791666666666701" header="0.51180555555555496" footer="0.51180555555555496"/>
  <pageSetup paperSize="9" scale="9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/>
  </sheetViews>
  <sheetFormatPr defaultRowHeight="13.2" x14ac:dyDescent="0.25"/>
  <cols>
    <col min="1" max="1" width="41.88671875" customWidth="1"/>
    <col min="2" max="2" width="5.6640625" customWidth="1"/>
    <col min="3" max="3" width="8.77734375" customWidth="1"/>
    <col min="4" max="4" width="9.77734375" customWidth="1"/>
    <col min="5" max="5" width="8" customWidth="1"/>
    <col min="6" max="6" width="9.77734375" customWidth="1"/>
    <col min="7" max="8" width="8.77734375" customWidth="1"/>
    <col min="9" max="26" width="8.6640625" customWidth="1"/>
    <col min="27" max="1025" width="12.6640625" customWidth="1"/>
  </cols>
  <sheetData>
    <row r="1" spans="1:26" ht="12.75" customHeight="1" x14ac:dyDescent="0.25">
      <c r="A1" s="44" t="s">
        <v>194</v>
      </c>
      <c r="B1" s="41"/>
      <c r="C1" s="41"/>
      <c r="D1" s="480"/>
      <c r="E1" s="186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</row>
    <row r="2" spans="1:26" ht="12.75" customHeight="1" x14ac:dyDescent="0.25">
      <c r="A2" s="222" t="s">
        <v>551</v>
      </c>
      <c r="B2" s="41"/>
      <c r="C2" s="41"/>
      <c r="D2" s="480"/>
      <c r="E2" s="186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</row>
    <row r="3" spans="1:26" ht="12.75" customHeight="1" x14ac:dyDescent="0.25">
      <c r="A3" s="15" t="s">
        <v>552</v>
      </c>
      <c r="B3" s="41"/>
      <c r="C3" s="41"/>
      <c r="D3" s="480"/>
      <c r="E3" s="186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</row>
    <row r="4" spans="1:26" ht="12.75" customHeight="1" x14ac:dyDescent="0.25">
      <c r="A4" s="15"/>
      <c r="B4" s="41"/>
      <c r="C4" s="41"/>
      <c r="D4" s="480"/>
      <c r="E4" s="186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</row>
    <row r="5" spans="1:26" ht="15" customHeight="1" x14ac:dyDescent="0.25">
      <c r="A5" s="18" t="s">
        <v>200</v>
      </c>
      <c r="B5" s="222"/>
      <c r="C5" s="222"/>
      <c r="D5" s="222"/>
      <c r="E5" s="222"/>
      <c r="F5" s="222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6.5" customHeight="1" x14ac:dyDescent="0.25">
      <c r="A6" s="18" t="s">
        <v>201</v>
      </c>
      <c r="B6" s="222"/>
      <c r="C6" s="222"/>
      <c r="D6" s="17"/>
      <c r="E6" s="17"/>
      <c r="F6" s="17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5">
      <c r="A7" s="480"/>
      <c r="B7" s="41"/>
      <c r="C7" s="41"/>
      <c r="D7" s="480"/>
      <c r="E7" s="186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</row>
    <row r="8" spans="1:26" ht="12.75" customHeight="1" x14ac:dyDescent="0.25">
      <c r="A8" s="605" t="s">
        <v>553</v>
      </c>
      <c r="B8" s="605"/>
      <c r="C8" s="605"/>
      <c r="D8" s="605"/>
      <c r="E8" s="605"/>
      <c r="F8" s="605"/>
    </row>
    <row r="9" spans="1:26" ht="12.75" customHeight="1" x14ac:dyDescent="0.25">
      <c r="A9" s="481"/>
      <c r="B9" s="482"/>
      <c r="C9" s="482"/>
      <c r="D9" s="482"/>
      <c r="E9" s="482"/>
      <c r="F9" s="483"/>
    </row>
    <row r="10" spans="1:26" ht="12.75" customHeight="1" x14ac:dyDescent="0.25">
      <c r="A10" s="484"/>
      <c r="B10" s="41"/>
      <c r="C10" s="41"/>
      <c r="D10" s="606" t="s">
        <v>554</v>
      </c>
      <c r="E10" s="606"/>
      <c r="F10" s="606"/>
      <c r="G10" s="480"/>
      <c r="H10" s="480"/>
    </row>
    <row r="11" spans="1:26" ht="12.75" customHeight="1" x14ac:dyDescent="0.25">
      <c r="A11" s="470"/>
      <c r="B11" s="480"/>
      <c r="C11" s="480"/>
      <c r="D11" s="485" t="s">
        <v>555</v>
      </c>
      <c r="E11" s="486" t="s">
        <v>556</v>
      </c>
      <c r="F11" s="487" t="s">
        <v>557</v>
      </c>
      <c r="G11" s="480"/>
      <c r="H11" s="480"/>
    </row>
    <row r="12" spans="1:26" ht="12.75" customHeight="1" x14ac:dyDescent="0.25">
      <c r="A12" s="488" t="s">
        <v>558</v>
      </c>
      <c r="B12" s="489" t="s">
        <v>559</v>
      </c>
      <c r="C12" s="490">
        <v>2.9700000000000001E-2</v>
      </c>
      <c r="D12" s="491">
        <v>2.9700000000000001E-2</v>
      </c>
      <c r="E12" s="492">
        <v>5.0799999999999998E-2</v>
      </c>
      <c r="F12" s="493">
        <v>6.2700000000000006E-2</v>
      </c>
      <c r="G12" s="480"/>
      <c r="H12" s="480"/>
    </row>
    <row r="13" spans="1:26" ht="12.75" customHeight="1" x14ac:dyDescent="0.25">
      <c r="A13" s="433" t="s">
        <v>560</v>
      </c>
      <c r="B13" s="494" t="s">
        <v>561</v>
      </c>
      <c r="C13" s="495">
        <v>1.3299999999999999E-2</v>
      </c>
      <c r="D13" s="491">
        <f>0.3%+0.56%</f>
        <v>8.6E-3</v>
      </c>
      <c r="E13" s="492">
        <f>0.48%+0.85%</f>
        <v>1.3299999999999999E-2</v>
      </c>
      <c r="F13" s="493">
        <f>0.82%+0.89%</f>
        <v>1.7099999999999997E-2</v>
      </c>
      <c r="G13" s="480"/>
      <c r="H13" s="480"/>
    </row>
    <row r="14" spans="1:26" ht="12.75" customHeight="1" x14ac:dyDescent="0.25">
      <c r="A14" s="433" t="s">
        <v>562</v>
      </c>
      <c r="B14" s="494" t="s">
        <v>563</v>
      </c>
      <c r="C14" s="495">
        <v>0.1085</v>
      </c>
      <c r="D14" s="491">
        <v>7.7799999999999994E-2</v>
      </c>
      <c r="E14" s="492">
        <v>0.1085</v>
      </c>
      <c r="F14" s="493">
        <v>0.13550000000000001</v>
      </c>
      <c r="G14" s="480"/>
      <c r="H14" s="480"/>
    </row>
    <row r="15" spans="1:26" ht="12.75" customHeight="1" x14ac:dyDescent="0.25">
      <c r="A15" s="433" t="s">
        <v>564</v>
      </c>
      <c r="B15" s="494" t="s">
        <v>565</v>
      </c>
      <c r="C15" s="496">
        <f>(1+E15)^(E16/252)-1</f>
        <v>7.9612163669384728E-3</v>
      </c>
      <c r="D15" s="491" t="s">
        <v>566</v>
      </c>
      <c r="E15" s="497">
        <v>0.14249999999999999</v>
      </c>
      <c r="F15" s="498"/>
      <c r="G15" s="480"/>
      <c r="H15" s="480"/>
    </row>
    <row r="16" spans="1:26" ht="12.75" customHeight="1" x14ac:dyDescent="0.25">
      <c r="A16" s="433" t="s">
        <v>567</v>
      </c>
      <c r="B16" s="607" t="s">
        <v>568</v>
      </c>
      <c r="C16" s="495">
        <v>0.03</v>
      </c>
      <c r="D16" s="499" t="s">
        <v>569</v>
      </c>
      <c r="E16" s="500">
        <v>15</v>
      </c>
      <c r="F16" s="501"/>
      <c r="G16" s="480"/>
      <c r="H16" s="480"/>
    </row>
    <row r="17" spans="1:8" ht="12.75" customHeight="1" x14ac:dyDescent="0.25">
      <c r="A17" s="502" t="s">
        <v>570</v>
      </c>
      <c r="B17" s="607"/>
      <c r="C17" s="503">
        <v>3.6499999999999998E-2</v>
      </c>
      <c r="D17" s="461"/>
      <c r="E17" s="195"/>
      <c r="F17" s="501"/>
      <c r="G17" s="480"/>
      <c r="H17" s="480"/>
    </row>
    <row r="18" spans="1:8" ht="12.75" customHeight="1" x14ac:dyDescent="0.25">
      <c r="A18" s="504" t="s">
        <v>571</v>
      </c>
      <c r="B18" s="505"/>
      <c r="C18" s="506"/>
      <c r="D18" s="461"/>
      <c r="E18" s="195"/>
      <c r="F18" s="501"/>
      <c r="G18" s="480"/>
      <c r="H18" s="480"/>
    </row>
    <row r="19" spans="1:8" ht="12.75" customHeight="1" x14ac:dyDescent="0.25">
      <c r="A19" s="507" t="s">
        <v>572</v>
      </c>
      <c r="B19" s="508"/>
      <c r="C19" s="509"/>
      <c r="D19" s="461"/>
      <c r="E19" s="195"/>
      <c r="F19" s="501"/>
      <c r="G19" s="480"/>
      <c r="H19" s="480"/>
    </row>
    <row r="20" spans="1:8" ht="12.75" customHeight="1" x14ac:dyDescent="0.25">
      <c r="A20" s="510" t="s">
        <v>573</v>
      </c>
      <c r="B20" s="511"/>
      <c r="C20" s="512">
        <f>ROUND((((1+C12+C13)*(1+C14)*(1+C15))/(1-(C16+C17))-1),4)</f>
        <v>0.24840000000000001</v>
      </c>
      <c r="D20" s="513">
        <v>0.21429999999999999</v>
      </c>
      <c r="E20" s="514">
        <v>0.2717</v>
      </c>
      <c r="F20" s="515">
        <v>0.3362</v>
      </c>
      <c r="G20" s="480"/>
      <c r="H20" s="480"/>
    </row>
    <row r="21" spans="1:8" ht="12.75" customHeight="1" x14ac:dyDescent="0.25"/>
    <row r="22" spans="1:8" ht="12.75" customHeight="1" x14ac:dyDescent="0.25"/>
    <row r="23" spans="1:8" ht="12.75" customHeight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A8:F8"/>
    <mergeCell ref="D10:F10"/>
    <mergeCell ref="B16:B17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38</vt:i4>
      </vt:variant>
    </vt:vector>
  </HeadingPairs>
  <TitlesOfParts>
    <vt:vector size="49" baseType="lpstr">
      <vt:lpstr>0. Qtdades e Custos</vt:lpstr>
      <vt:lpstr>1. Capina e Roçada</vt:lpstr>
      <vt:lpstr>2. Varrição Manual</vt:lpstr>
      <vt:lpstr>3. Varrição Mecanizada</vt:lpstr>
      <vt:lpstr>4. Pintura Meio-Fios</vt:lpstr>
      <vt:lpstr>5. Equipe Técnica</vt:lpstr>
      <vt:lpstr>6. Encargos Sociais</vt:lpstr>
      <vt:lpstr>7.CAGED</vt:lpstr>
      <vt:lpstr>8. BDI</vt:lpstr>
      <vt:lpstr>9. Depreciação</vt:lpstr>
      <vt:lpstr>10. Remuneração de capital</vt:lpstr>
      <vt:lpstr>AbaDeprec</vt:lpstr>
      <vt:lpstr>AbaRemun</vt:lpstr>
      <vt:lpstr>'0. Qtdades e Custos'!Print_Titles_0</vt:lpstr>
      <vt:lpstr>'1. Capina e Roçada'!Print_Titles_0</vt:lpstr>
      <vt:lpstr>'2. Varrição Manual'!Print_Titles_0</vt:lpstr>
      <vt:lpstr>'3. Varrição Mecanizada'!Print_Titles_0</vt:lpstr>
      <vt:lpstr>'4. Pintura Meio-Fios'!Print_Titles_0</vt:lpstr>
      <vt:lpstr>'5. Equipe Técnica'!Print_Titles_0</vt:lpstr>
      <vt:lpstr>'0. Qtdades e Custos'!Print_Titles_0_0</vt:lpstr>
      <vt:lpstr>'1. Capina e Roçada'!Print_Titles_0_0</vt:lpstr>
      <vt:lpstr>'2. Varrição Manual'!Print_Titles_0_0</vt:lpstr>
      <vt:lpstr>'3. Varrição Mecanizada'!Print_Titles_0_0</vt:lpstr>
      <vt:lpstr>'4. Pintura Meio-Fios'!Print_Titles_0_0</vt:lpstr>
      <vt:lpstr>'5. Equipe Técnica'!Print_Titles_0_0</vt:lpstr>
      <vt:lpstr>'0. Qtdades e Custos'!Print_Titles_0_0_0</vt:lpstr>
      <vt:lpstr>'1. Capina e Roçada'!Print_Titles_0_0_0</vt:lpstr>
      <vt:lpstr>'2. Varrição Manual'!Print_Titles_0_0_0</vt:lpstr>
      <vt:lpstr>'3. Varrição Mecanizada'!Print_Titles_0_0_0</vt:lpstr>
      <vt:lpstr>'4. Pintura Meio-Fios'!Print_Titles_0_0_0</vt:lpstr>
      <vt:lpstr>'5. Equipe Técnica'!Print_Titles_0_0_0</vt:lpstr>
      <vt:lpstr>'0. Qtdades e Custos'!Print_Titles_0_0_0_0</vt:lpstr>
      <vt:lpstr>'1. Capina e Roçada'!Print_Titles_0_0_0_0</vt:lpstr>
      <vt:lpstr>'2. Varrição Manual'!Print_Titles_0_0_0_0</vt:lpstr>
      <vt:lpstr>'3. Varrição Mecanizada'!Print_Titles_0_0_0_0</vt:lpstr>
      <vt:lpstr>'4. Pintura Meio-Fios'!Print_Titles_0_0_0_0</vt:lpstr>
      <vt:lpstr>'5. Equipe Técnica'!Print_Titles_0_0_0_0</vt:lpstr>
      <vt:lpstr>'0. Qtdades e Custos'!Print_Titles_0_0_0_0_0</vt:lpstr>
      <vt:lpstr>'1. Capina e Roçada'!Print_Titles_0_0_0_0_0</vt:lpstr>
      <vt:lpstr>'2. Varrição Manual'!Print_Titles_0_0_0_0_0</vt:lpstr>
      <vt:lpstr>'3. Varrição Mecanizada'!Print_Titles_0_0_0_0_0</vt:lpstr>
      <vt:lpstr>'4. Pintura Meio-Fios'!Print_Titles_0_0_0_0_0</vt:lpstr>
      <vt:lpstr>'5. Equipe Técnica'!Print_Titles_0_0_0_0_0</vt:lpstr>
      <vt:lpstr>'0. Qtdades e Custos'!Print_Titles_0_0_0_0_0_0</vt:lpstr>
      <vt:lpstr>'1. Capina e Roçada'!Print_Titles_0_0_0_0_0_0</vt:lpstr>
      <vt:lpstr>'2. Varrição Manual'!Print_Titles_0_0_0_0_0_0</vt:lpstr>
      <vt:lpstr>'3. Varrição Mecanizada'!Print_Titles_0_0_0_0_0_0</vt:lpstr>
      <vt:lpstr>'4. Pintura Meio-Fios'!Print_Titles_0_0_0_0_0_0</vt:lpstr>
      <vt:lpstr>'5. Equipe Técnica'!Print_Titles_0_0_0_0_0_0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Burmeister Martins</dc:creator>
  <dc:description/>
  <cp:lastModifiedBy>Valeria Marques</cp:lastModifiedBy>
  <cp:revision>3</cp:revision>
  <dcterms:created xsi:type="dcterms:W3CDTF">2000-12-13T10:02:50Z</dcterms:created>
  <dcterms:modified xsi:type="dcterms:W3CDTF">2025-11-11T19:53:03Z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dmlu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